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wmf" ContentType="image/x-wmf"/>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mbeddings/oleObject2.bin" ContentType="application/vnd.openxmlformats-officedocument.oleObject"/>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Default Extension="doc" ContentType="application/msword"/>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83.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Default Extension="emf" ContentType="image/x-emf"/>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7200" yWindow="-225" windowWidth="12030" windowHeight="8535" tabRatio="947"/>
  </bookViews>
  <sheets>
    <sheet name="MAP" sheetId="119" r:id="rId1"/>
    <sheet name="Cover Page" sheetId="122" r:id="rId2"/>
    <sheet name="PREFACE" sheetId="123" r:id="rId3"/>
    <sheet name="Contents" sheetId="109" r:id="rId4"/>
    <sheet name="At a glance" sheetId="1" r:id="rId5"/>
    <sheet name="1.1,1.2" sheetId="2" r:id="rId6"/>
    <sheet name="1.3,1.4" sheetId="8" r:id="rId7"/>
    <sheet name="2.1" sheetId="6" r:id="rId8"/>
    <sheet name="2.1a,2.1b" sheetId="130" r:id="rId9"/>
    <sheet name="2.2,2.3" sheetId="9" r:id="rId10"/>
    <sheet name="2.4a" sheetId="116" r:id="rId11"/>
    <sheet name="2.4b" sheetId="151" r:id="rId12"/>
    <sheet name="2.5a" sheetId="15" r:id="rId13"/>
    <sheet name="2.5b" sheetId="152" r:id="rId14"/>
    <sheet name="2.6" sheetId="153" r:id="rId15"/>
    <sheet name="2.7" sheetId="156" r:id="rId16"/>
    <sheet name="2.8" sheetId="158" r:id="rId17"/>
    <sheet name="2.9,2.10" sheetId="154" r:id="rId18"/>
    <sheet name="2.10a" sheetId="136" r:id="rId19"/>
    <sheet name="2.11" sheetId="155" r:id="rId20"/>
    <sheet name="3.1" sheetId="23" r:id="rId21"/>
    <sheet name="3.2" sheetId="24" r:id="rId22"/>
    <sheet name="3.2a" sheetId="25" r:id="rId23"/>
    <sheet name="3.3" sheetId="26" r:id="rId24"/>
    <sheet name="3.3a" sheetId="128" r:id="rId25"/>
    <sheet name="4.1a" sheetId="27" r:id="rId26"/>
    <sheet name="4.1b" sheetId="28" r:id="rId27"/>
    <sheet name="4.1c" sheetId="29" r:id="rId28"/>
    <sheet name="4.2a" sheetId="30" r:id="rId29"/>
    <sheet name="4.2b" sheetId="31" r:id="rId30"/>
    <sheet name="4.2c" sheetId="32" r:id="rId31"/>
    <sheet name="4.3a" sheetId="33" r:id="rId32"/>
    <sheet name="4.3b" sheetId="34" r:id="rId33"/>
    <sheet name="4.3c" sheetId="35" r:id="rId34"/>
    <sheet name="4.4" sheetId="37" r:id="rId35"/>
    <sheet name="4.5" sheetId="160" r:id="rId36"/>
    <sheet name="4.6" sheetId="39" r:id="rId37"/>
    <sheet name="4.7,4.8" sheetId="40" r:id="rId38"/>
    <sheet name="5.1,5.1a" sheetId="83" r:id="rId39"/>
    <sheet name="5.1b,5.2" sheetId="45" r:id="rId40"/>
    <sheet name="5.3" sheetId="114" r:id="rId41"/>
    <sheet name="5.3a" sheetId="49" r:id="rId42"/>
    <sheet name="5.3b,5.3c" sheetId="50" r:id="rId43"/>
    <sheet name="5.3d" sheetId="51" r:id="rId44"/>
    <sheet name="5.3e,5.3f" sheetId="52" r:id="rId45"/>
    <sheet name="5.4" sheetId="53" r:id="rId46"/>
    <sheet name="5.5,5.5a" sheetId="54" r:id="rId47"/>
    <sheet name="5.6,5.7,5.8" sheetId="56" r:id="rId48"/>
    <sheet name="6.1" sheetId="59" r:id="rId49"/>
    <sheet name="6.2" sheetId="60" r:id="rId50"/>
    <sheet name="7.1" sheetId="61" r:id="rId51"/>
    <sheet name="7.2,7.3" sheetId="62" r:id="rId52"/>
    <sheet name="8.1,8.2" sheetId="65" r:id="rId53"/>
    <sheet name="8.2a" sheetId="143" r:id="rId54"/>
    <sheet name="8.3" sheetId="68" r:id="rId55"/>
    <sheet name="8.4" sheetId="69" r:id="rId56"/>
    <sheet name="9.1" sheetId="148" r:id="rId57"/>
    <sheet name="9.2,9.2a,9.2b" sheetId="141" r:id="rId58"/>
    <sheet name="10.1,10.2" sheetId="75" r:id="rId59"/>
    <sheet name="10.3" sheetId="77" r:id="rId60"/>
    <sheet name="11.1" sheetId="85" r:id="rId61"/>
    <sheet name="11.1a,11.2" sheetId="86" r:id="rId62"/>
    <sheet name="11.3,11.4" sheetId="88" r:id="rId63"/>
    <sheet name="12.1,12.2" sheetId="90" r:id="rId64"/>
    <sheet name="12.3,12.4" sheetId="93" r:id="rId65"/>
    <sheet name="12.5,12.6,12.7" sheetId="135" r:id="rId66"/>
    <sheet name="13.1" sheetId="78" r:id="rId67"/>
    <sheet name="13.2,13.3" sheetId="140" r:id="rId68"/>
    <sheet name="14.1,14.2" sheetId="81" r:id="rId69"/>
    <sheet name="15.1" sheetId="43" r:id="rId70"/>
    <sheet name="15.2" sheetId="129" r:id="rId71"/>
    <sheet name="Block_Level" sheetId="150" r:id="rId72"/>
    <sheet name="16.1" sheetId="98" r:id="rId73"/>
    <sheet name="17.1" sheetId="146" r:id="rId74"/>
    <sheet name="17.2" sheetId="100" r:id="rId75"/>
    <sheet name="18.1" sheetId="101" r:id="rId76"/>
    <sheet name="18.2" sheetId="102" r:id="rId77"/>
    <sheet name="18.3" sheetId="132" r:id="rId78"/>
    <sheet name="19.1" sheetId="104" r:id="rId79"/>
    <sheet name="20.1,20.2" sheetId="105" r:id="rId80"/>
    <sheet name="21.1" sheetId="107" r:id="rId81"/>
    <sheet name="21.2" sheetId="137" r:id="rId82"/>
    <sheet name="District" sheetId="12" r:id="rId83"/>
  </sheets>
  <externalReferences>
    <externalReference r:id="rId84"/>
    <externalReference r:id="rId85"/>
  </externalReferences>
  <definedNames>
    <definedName name="_xlnm._FilterDatabase" localSheetId="14" hidden="1">'2.6'!$A$8:$G$51</definedName>
    <definedName name="_xlnm.Print_Area" localSheetId="46">'5.5,5.5a'!$A$1:$L$33</definedName>
    <definedName name="_xlnm.Print_Area" localSheetId="50">'7.1'!$A$1:$G$48</definedName>
    <definedName name="_xlnm.Print_Titles" localSheetId="59">'10.3'!$11:$11</definedName>
    <definedName name="_xlnm.Print_Titles" localSheetId="76">'18.2'!$3:$6</definedName>
    <definedName name="_xlnm.Print_Titles" localSheetId="9">'2.2,2.3'!$3:$4</definedName>
    <definedName name="_xlnm.Print_Titles" localSheetId="15">'2.7'!$3:$7</definedName>
    <definedName name="_xlnm.Print_Titles" localSheetId="36">'4.6'!$11:$11</definedName>
    <definedName name="_xlnm.Print_Titles" localSheetId="37">'4.7,4.8'!$10:$10</definedName>
    <definedName name="_xlnm.Print_Titles" localSheetId="49">'6.2'!$11:$11</definedName>
    <definedName name="s" localSheetId="19">'[1]2.11'!#REF!</definedName>
    <definedName name="s" localSheetId="15">'[1]2.11'!#REF!</definedName>
    <definedName name="s" localSheetId="16">'[1]2.11'!#REF!</definedName>
    <definedName name="s" localSheetId="35">'[1]2.11'!#REF!</definedName>
    <definedName name="s">'[1]2.11'!#REF!</definedName>
    <definedName name="Table2.1" localSheetId="19">'[2]2.11'!#REF!</definedName>
    <definedName name="Table2.1" localSheetId="15">'[2]2.11'!#REF!</definedName>
    <definedName name="Table2.1" localSheetId="16">'[2]2.11'!#REF!</definedName>
    <definedName name="Table2.1" localSheetId="35">'[2]2.11'!#REF!</definedName>
    <definedName name="Table2.1" localSheetId="71">'[1]2.11'!#REF!</definedName>
    <definedName name="Table2.1">'[2]2.11'!#REF!</definedName>
    <definedName name="Table2.10">#REF!</definedName>
    <definedName name="Table2.10a" localSheetId="19">'[2]2.11'!#REF!</definedName>
    <definedName name="Table2.10a" localSheetId="15">'[2]2.11'!#REF!</definedName>
    <definedName name="Table2.10a" localSheetId="16">'[2]2.11'!#REF!</definedName>
    <definedName name="Table2.10a" localSheetId="35">'[2]2.11'!#REF!</definedName>
    <definedName name="Table2.10a" localSheetId="71">'[1]2.11'!#REF!</definedName>
    <definedName name="Table2.10a">'[2]2.11'!#REF!</definedName>
    <definedName name="Table2.2">#REF!</definedName>
  </definedNames>
  <calcPr calcId="124519"/>
</workbook>
</file>

<file path=xl/calcChain.xml><?xml version="1.0" encoding="utf-8"?>
<calcChain xmlns="http://schemas.openxmlformats.org/spreadsheetml/2006/main">
  <c r="D11" i="90"/>
  <c r="F38" i="114"/>
  <c r="F50" i="45"/>
  <c r="B24" i="40"/>
  <c r="G50" i="45"/>
  <c r="G38" i="114"/>
  <c r="D64" i="1"/>
  <c r="N7" i="62" l="1"/>
  <c r="R11"/>
  <c r="R10"/>
  <c r="R9"/>
  <c r="R8"/>
  <c r="G19" i="114"/>
  <c r="G37" i="45" l="1"/>
  <c r="G41" i="40"/>
  <c r="G42"/>
  <c r="G43"/>
  <c r="G44"/>
  <c r="G40"/>
  <c r="E13" i="105"/>
  <c r="F51" i="40"/>
  <c r="E51"/>
  <c r="D51"/>
  <c r="C51"/>
  <c r="F44"/>
  <c r="E44"/>
  <c r="D44"/>
  <c r="C44"/>
  <c r="W7" i="37"/>
  <c r="V7"/>
  <c r="U7"/>
  <c r="T7"/>
  <c r="S7"/>
  <c r="R7"/>
  <c r="Q7"/>
  <c r="P7"/>
  <c r="O7"/>
  <c r="M7"/>
  <c r="L7"/>
  <c r="K7"/>
  <c r="J7"/>
  <c r="I7"/>
  <c r="H7"/>
  <c r="G7"/>
  <c r="F7"/>
  <c r="E7"/>
  <c r="D7"/>
  <c r="C7"/>
  <c r="B7"/>
  <c r="E33" i="128"/>
  <c r="E32"/>
  <c r="E31"/>
  <c r="E30"/>
  <c r="E29"/>
  <c r="E28"/>
  <c r="E27"/>
  <c r="E25"/>
  <c r="E24"/>
  <c r="E23"/>
  <c r="E21" s="1"/>
  <c r="E22"/>
  <c r="E20"/>
  <c r="E19"/>
  <c r="E18"/>
  <c r="E17"/>
  <c r="E16"/>
  <c r="E15"/>
  <c r="E14"/>
  <c r="E13" s="1"/>
  <c r="L9" i="43"/>
  <c r="L8"/>
  <c r="L7"/>
  <c r="L6"/>
  <c r="I31" i="140"/>
  <c r="G31"/>
  <c r="E31"/>
  <c r="C31"/>
  <c r="K10"/>
  <c r="J10"/>
  <c r="I10"/>
  <c r="H10"/>
  <c r="F10"/>
  <c r="E10"/>
  <c r="D10"/>
  <c r="C10"/>
  <c r="E32" i="78"/>
  <c r="D32"/>
  <c r="C32"/>
  <c r="B32"/>
  <c r="J16"/>
  <c r="I16"/>
  <c r="H16"/>
  <c r="G16"/>
  <c r="E16"/>
  <c r="D16"/>
  <c r="C16"/>
  <c r="B16"/>
  <c r="K28" i="93"/>
  <c r="K27"/>
  <c r="K26"/>
  <c r="K25"/>
  <c r="I8"/>
  <c r="I7"/>
  <c r="I6"/>
  <c r="M10" i="90"/>
  <c r="J10"/>
  <c r="G10"/>
  <c r="M9"/>
  <c r="J9"/>
  <c r="G9"/>
  <c r="M8"/>
  <c r="J8"/>
  <c r="G8"/>
  <c r="D8"/>
  <c r="M7"/>
  <c r="J7"/>
  <c r="G7"/>
  <c r="D7"/>
  <c r="E18" i="88"/>
  <c r="D18"/>
  <c r="C18"/>
  <c r="B18"/>
  <c r="A23" i="86"/>
  <c r="E13" i="75"/>
  <c r="D13"/>
  <c r="C13"/>
  <c r="B13"/>
  <c r="J9" i="143"/>
  <c r="E30" i="65"/>
  <c r="E26"/>
  <c r="E21"/>
  <c r="D30"/>
  <c r="D26"/>
  <c r="D21"/>
  <c r="C30"/>
  <c r="C26"/>
  <c r="C21"/>
  <c r="B30"/>
  <c r="B26"/>
  <c r="B21"/>
  <c r="F10"/>
  <c r="D10"/>
  <c r="O11" i="62"/>
  <c r="N10"/>
  <c r="P10"/>
  <c r="Q10" s="1"/>
  <c r="M10"/>
  <c r="I10"/>
  <c r="E10"/>
  <c r="F26" i="59"/>
  <c r="E26"/>
  <c r="D26"/>
  <c r="C26"/>
  <c r="E10"/>
  <c r="E15"/>
  <c r="E21" s="1"/>
  <c r="D10"/>
  <c r="D15"/>
  <c r="C10"/>
  <c r="C15"/>
  <c r="C21"/>
  <c r="F15"/>
  <c r="F10"/>
  <c r="F21" s="1"/>
  <c r="F9" i="56"/>
  <c r="F8"/>
  <c r="F7"/>
  <c r="F6"/>
  <c r="L10" i="54"/>
  <c r="L9"/>
  <c r="L8"/>
  <c r="L7"/>
  <c r="F15" i="53"/>
  <c r="E15"/>
  <c r="D15"/>
  <c r="C15"/>
  <c r="J24" i="52"/>
  <c r="J23"/>
  <c r="J22"/>
  <c r="J21"/>
  <c r="K31" i="51"/>
  <c r="J31"/>
  <c r="I31"/>
  <c r="H31"/>
  <c r="F31"/>
  <c r="E31"/>
  <c r="D31"/>
  <c r="C31"/>
  <c r="E38" i="114"/>
  <c r="D38"/>
  <c r="C38"/>
  <c r="F30"/>
  <c r="E30"/>
  <c r="D30"/>
  <c r="C30"/>
  <c r="F25"/>
  <c r="E25"/>
  <c r="D25"/>
  <c r="C25"/>
  <c r="F7"/>
  <c r="F15"/>
  <c r="F19"/>
  <c r="F20"/>
  <c r="E7"/>
  <c r="E15"/>
  <c r="E19"/>
  <c r="E20"/>
  <c r="D7"/>
  <c r="D15"/>
  <c r="D19"/>
  <c r="D20"/>
  <c r="C7"/>
  <c r="C15"/>
  <c r="C19"/>
  <c r="C20"/>
  <c r="E50" i="45"/>
  <c r="D50"/>
  <c r="C50"/>
  <c r="F42"/>
  <c r="E42"/>
  <c r="D42"/>
  <c r="C42"/>
  <c r="F37"/>
  <c r="E37"/>
  <c r="D37"/>
  <c r="C37"/>
  <c r="F19"/>
  <c r="F27"/>
  <c r="F31"/>
  <c r="F32"/>
  <c r="E19"/>
  <c r="E27"/>
  <c r="E31"/>
  <c r="E32"/>
  <c r="D19"/>
  <c r="D27"/>
  <c r="D31"/>
  <c r="D32"/>
  <c r="C19"/>
  <c r="C27"/>
  <c r="C31"/>
  <c r="C32"/>
  <c r="G9"/>
  <c r="G8"/>
  <c r="G7"/>
  <c r="G6"/>
  <c r="C9" i="83"/>
  <c r="C8"/>
  <c r="C7"/>
  <c r="C6"/>
  <c r="F11" i="40"/>
  <c r="F19"/>
  <c r="F24"/>
  <c r="F9"/>
  <c r="H19" i="35"/>
  <c r="G19"/>
  <c r="F19"/>
  <c r="E19"/>
  <c r="H8" i="34"/>
  <c r="H13"/>
  <c r="H7" s="1"/>
  <c r="H18"/>
  <c r="H25"/>
  <c r="H28"/>
  <c r="G8"/>
  <c r="G13"/>
  <c r="G18"/>
  <c r="G25"/>
  <c r="G28"/>
  <c r="F8"/>
  <c r="F13"/>
  <c r="F7" s="1"/>
  <c r="F18"/>
  <c r="F25"/>
  <c r="F28"/>
  <c r="E8"/>
  <c r="E13"/>
  <c r="E18"/>
  <c r="E25"/>
  <c r="E28"/>
  <c r="H23" i="33"/>
  <c r="G23"/>
  <c r="F23"/>
  <c r="E23"/>
  <c r="H18"/>
  <c r="G18"/>
  <c r="F18"/>
  <c r="E18"/>
  <c r="H13"/>
  <c r="G13"/>
  <c r="F13"/>
  <c r="E13"/>
  <c r="H8"/>
  <c r="G8"/>
  <c r="F8"/>
  <c r="E8"/>
  <c r="H7"/>
  <c r="G7"/>
  <c r="F7"/>
  <c r="E7"/>
  <c r="L20" i="32"/>
  <c r="K20"/>
  <c r="J20"/>
  <c r="I20"/>
  <c r="H20"/>
  <c r="G20"/>
  <c r="F20"/>
  <c r="E20"/>
  <c r="L9" i="31"/>
  <c r="L14"/>
  <c r="L8" s="1"/>
  <c r="L19"/>
  <c r="L26"/>
  <c r="L29"/>
  <c r="K9"/>
  <c r="K14"/>
  <c r="K8" s="1"/>
  <c r="K19"/>
  <c r="K26"/>
  <c r="K29"/>
  <c r="J9"/>
  <c r="J14"/>
  <c r="J19"/>
  <c r="J26"/>
  <c r="J29"/>
  <c r="I9"/>
  <c r="I14"/>
  <c r="I19"/>
  <c r="I26"/>
  <c r="I29"/>
  <c r="H9"/>
  <c r="H14"/>
  <c r="H8" s="1"/>
  <c r="H19"/>
  <c r="H26"/>
  <c r="H29"/>
  <c r="G9"/>
  <c r="G14"/>
  <c r="G19"/>
  <c r="G26"/>
  <c r="G29"/>
  <c r="F9"/>
  <c r="F14"/>
  <c r="F8" s="1"/>
  <c r="F19"/>
  <c r="F26"/>
  <c r="F29"/>
  <c r="E9"/>
  <c r="E14"/>
  <c r="E19"/>
  <c r="E26"/>
  <c r="E29"/>
  <c r="L24" i="30"/>
  <c r="K24"/>
  <c r="J24"/>
  <c r="I24"/>
  <c r="H24"/>
  <c r="G24"/>
  <c r="F24"/>
  <c r="E24"/>
  <c r="L19"/>
  <c r="K19"/>
  <c r="J19"/>
  <c r="I19"/>
  <c r="H19"/>
  <c r="G19"/>
  <c r="F19"/>
  <c r="E19"/>
  <c r="L14"/>
  <c r="K14"/>
  <c r="J14"/>
  <c r="I14"/>
  <c r="H14"/>
  <c r="G14"/>
  <c r="F14"/>
  <c r="E14"/>
  <c r="L9"/>
  <c r="K9"/>
  <c r="J9"/>
  <c r="I9"/>
  <c r="H9"/>
  <c r="G9"/>
  <c r="F9"/>
  <c r="E9"/>
  <c r="L8"/>
  <c r="K8"/>
  <c r="J8"/>
  <c r="I8"/>
  <c r="H8"/>
  <c r="G8"/>
  <c r="F8"/>
  <c r="E8"/>
  <c r="H19" i="29"/>
  <c r="G19"/>
  <c r="F19"/>
  <c r="E19"/>
  <c r="I25" i="28"/>
  <c r="H8"/>
  <c r="H13"/>
  <c r="H7"/>
  <c r="H18"/>
  <c r="H28"/>
  <c r="H17" s="1"/>
  <c r="G8"/>
  <c r="G13"/>
  <c r="G7" s="1"/>
  <c r="G18"/>
  <c r="G25"/>
  <c r="G28"/>
  <c r="F8"/>
  <c r="F13"/>
  <c r="F18"/>
  <c r="F25"/>
  <c r="F28"/>
  <c r="E8"/>
  <c r="E13"/>
  <c r="E7" s="1"/>
  <c r="E18"/>
  <c r="E25"/>
  <c r="E28"/>
  <c r="H23" i="27"/>
  <c r="G23"/>
  <c r="F23"/>
  <c r="E23"/>
  <c r="H18"/>
  <c r="G18"/>
  <c r="F18"/>
  <c r="E18"/>
  <c r="H13"/>
  <c r="G13"/>
  <c r="F13"/>
  <c r="E13"/>
  <c r="H8"/>
  <c r="G8"/>
  <c r="F8"/>
  <c r="E8"/>
  <c r="H7"/>
  <c r="G7"/>
  <c r="F7"/>
  <c r="E7"/>
  <c r="F14" i="130"/>
  <c r="F13"/>
  <c r="F12"/>
  <c r="F11"/>
  <c r="F10"/>
  <c r="F9"/>
  <c r="F8"/>
  <c r="F7"/>
  <c r="I19" i="8"/>
  <c r="H19"/>
  <c r="G19"/>
  <c r="F19"/>
  <c r="E19"/>
  <c r="D19"/>
  <c r="C19"/>
  <c r="B19"/>
  <c r="C14" i="2"/>
  <c r="G28"/>
  <c r="F28"/>
  <c r="E28"/>
  <c r="D28"/>
  <c r="A2" i="160"/>
  <c r="D65" i="1"/>
  <c r="D61"/>
  <c r="B65"/>
  <c r="B61"/>
  <c r="A2" i="107"/>
  <c r="A22" i="88"/>
  <c r="A2" i="37"/>
  <c r="A2" i="155"/>
  <c r="A35" i="154"/>
  <c r="A2"/>
  <c r="D62" i="1"/>
  <c r="H22" i="23"/>
  <c r="G22"/>
  <c r="E18" i="9"/>
  <c r="E13"/>
  <c r="E5"/>
  <c r="A2" i="156"/>
  <c r="H8" i="6"/>
  <c r="H17"/>
  <c r="G8"/>
  <c r="G17"/>
  <c r="F25" i="77"/>
  <c r="F20"/>
  <c r="D25"/>
  <c r="D20"/>
  <c r="B25"/>
  <c r="B20"/>
  <c r="F30" i="65"/>
  <c r="F26"/>
  <c r="D31" i="61"/>
  <c r="G25" i="60"/>
  <c r="F25"/>
  <c r="E25"/>
  <c r="D25"/>
  <c r="C25"/>
  <c r="B25"/>
  <c r="G20"/>
  <c r="F20"/>
  <c r="E20"/>
  <c r="D20"/>
  <c r="C20"/>
  <c r="B20"/>
  <c r="G50" i="40"/>
  <c r="G47"/>
  <c r="G48"/>
  <c r="G49"/>
  <c r="G46"/>
  <c r="D24"/>
  <c r="D19"/>
  <c r="B19"/>
  <c r="D25" i="39"/>
  <c r="C25"/>
  <c r="B25"/>
  <c r="D20"/>
  <c r="C20"/>
  <c r="B20"/>
  <c r="I13" i="28"/>
  <c r="B25" i="25"/>
  <c r="I9" i="93"/>
  <c r="E24" i="75"/>
  <c r="D24"/>
  <c r="C24"/>
  <c r="B24"/>
  <c r="E11" i="62"/>
  <c r="I11"/>
  <c r="M11"/>
  <c r="C31" i="61"/>
  <c r="E31"/>
  <c r="F31"/>
  <c r="G31"/>
  <c r="C32"/>
  <c r="D32"/>
  <c r="E32"/>
  <c r="F32"/>
  <c r="G32"/>
  <c r="C33"/>
  <c r="D33"/>
  <c r="E33"/>
  <c r="F33"/>
  <c r="G33"/>
  <c r="C34"/>
  <c r="D34"/>
  <c r="E34"/>
  <c r="F34"/>
  <c r="G34"/>
  <c r="F10" i="56"/>
  <c r="K19" i="51"/>
  <c r="J19"/>
  <c r="I19"/>
  <c r="H19"/>
  <c r="F19"/>
  <c r="E19"/>
  <c r="D19"/>
  <c r="C19"/>
  <c r="G30" i="114"/>
  <c r="H20" i="37"/>
  <c r="I20"/>
  <c r="J20"/>
  <c r="L14" i="23"/>
  <c r="L22"/>
  <c r="L27"/>
  <c r="L8" i="156"/>
  <c r="L16"/>
  <c r="L21"/>
  <c r="N21"/>
  <c r="P21"/>
  <c r="R21" s="1"/>
  <c r="D52" i="1"/>
  <c r="D51"/>
  <c r="D50"/>
  <c r="B17"/>
  <c r="B30"/>
  <c r="B21"/>
  <c r="B9"/>
  <c r="B8"/>
  <c r="D17"/>
  <c r="A2" i="158"/>
  <c r="E47"/>
  <c r="D47"/>
  <c r="E46"/>
  <c r="D46"/>
  <c r="F46"/>
  <c r="E44"/>
  <c r="D44"/>
  <c r="F44" s="1"/>
  <c r="F43"/>
  <c r="F42"/>
  <c r="G42" s="1"/>
  <c r="E40"/>
  <c r="D40"/>
  <c r="F39"/>
  <c r="F38"/>
  <c r="G38"/>
  <c r="E36"/>
  <c r="D36"/>
  <c r="F36" s="1"/>
  <c r="F35"/>
  <c r="F34"/>
  <c r="G34" s="1"/>
  <c r="E32"/>
  <c r="D32"/>
  <c r="F31"/>
  <c r="F30"/>
  <c r="E22"/>
  <c r="D22"/>
  <c r="E21"/>
  <c r="E23" s="1"/>
  <c r="D21"/>
  <c r="D23" s="1"/>
  <c r="E19"/>
  <c r="D19"/>
  <c r="F19"/>
  <c r="F18"/>
  <c r="F17"/>
  <c r="E15"/>
  <c r="D15"/>
  <c r="F14"/>
  <c r="F13"/>
  <c r="E11"/>
  <c r="D11"/>
  <c r="F10"/>
  <c r="F22"/>
  <c r="F9"/>
  <c r="R14" i="156"/>
  <c r="R23"/>
  <c r="Q23"/>
  <c r="P16"/>
  <c r="R9"/>
  <c r="Q9" s="1"/>
  <c r="R25"/>
  <c r="O9"/>
  <c r="N8"/>
  <c r="B19"/>
  <c r="K19" s="1"/>
  <c r="B20"/>
  <c r="K20" s="1"/>
  <c r="B10"/>
  <c r="B11"/>
  <c r="J21"/>
  <c r="J8"/>
  <c r="H21"/>
  <c r="B23"/>
  <c r="G23"/>
  <c r="F16"/>
  <c r="G10"/>
  <c r="B24"/>
  <c r="B26"/>
  <c r="B18"/>
  <c r="G18" s="1"/>
  <c r="B12"/>
  <c r="D8"/>
  <c r="B28"/>
  <c r="R28"/>
  <c r="C28"/>
  <c r="R19"/>
  <c r="C19"/>
  <c r="B13"/>
  <c r="K13" s="1"/>
  <c r="G18" i="100"/>
  <c r="Q28" i="156"/>
  <c r="R27"/>
  <c r="Q27" s="1"/>
  <c r="R26"/>
  <c r="Q26" s="1"/>
  <c r="O26"/>
  <c r="R24"/>
  <c r="Q24" s="1"/>
  <c r="O23"/>
  <c r="Q19"/>
  <c r="M19"/>
  <c r="R18"/>
  <c r="Q18"/>
  <c r="R17"/>
  <c r="Q17"/>
  <c r="O17"/>
  <c r="R13"/>
  <c r="Q13" s="1"/>
  <c r="R11"/>
  <c r="Q11" s="1"/>
  <c r="C11"/>
  <c r="I13" i="155"/>
  <c r="I14"/>
  <c r="I12"/>
  <c r="I11"/>
  <c r="H13"/>
  <c r="J13" s="1"/>
  <c r="H14"/>
  <c r="J14" s="1"/>
  <c r="H12"/>
  <c r="J12" s="1"/>
  <c r="H11"/>
  <c r="J11" s="1"/>
  <c r="G13"/>
  <c r="G14"/>
  <c r="G12"/>
  <c r="G11"/>
  <c r="D13"/>
  <c r="D14"/>
  <c r="D12"/>
  <c r="D11"/>
  <c r="F15"/>
  <c r="E15"/>
  <c r="C15"/>
  <c r="B15"/>
  <c r="I10"/>
  <c r="H10"/>
  <c r="J10" s="1"/>
  <c r="G10"/>
  <c r="D10"/>
  <c r="I9"/>
  <c r="H9"/>
  <c r="G9"/>
  <c r="D9"/>
  <c r="I8"/>
  <c r="H8"/>
  <c r="J8"/>
  <c r="G8"/>
  <c r="D8"/>
  <c r="I7"/>
  <c r="H7"/>
  <c r="H15" s="1"/>
  <c r="G7"/>
  <c r="D7"/>
  <c r="D15" s="1"/>
  <c r="G31" i="154"/>
  <c r="G30"/>
  <c r="G29" s="1"/>
  <c r="G22"/>
  <c r="G23"/>
  <c r="G24"/>
  <c r="G25"/>
  <c r="G26"/>
  <c r="G27"/>
  <c r="G21"/>
  <c r="G17"/>
  <c r="G18"/>
  <c r="G19"/>
  <c r="G9"/>
  <c r="G10"/>
  <c r="G11"/>
  <c r="G12"/>
  <c r="G13"/>
  <c r="G14"/>
  <c r="D31"/>
  <c r="D30"/>
  <c r="D29" s="1"/>
  <c r="D22"/>
  <c r="D23"/>
  <c r="D24"/>
  <c r="D25"/>
  <c r="D26"/>
  <c r="D27"/>
  <c r="D21"/>
  <c r="D17"/>
  <c r="D18"/>
  <c r="D19"/>
  <c r="D9"/>
  <c r="D10"/>
  <c r="D11"/>
  <c r="D12"/>
  <c r="D13"/>
  <c r="D14"/>
  <c r="B7"/>
  <c r="C7"/>
  <c r="E7"/>
  <c r="F7"/>
  <c r="D8"/>
  <c r="D7" s="1"/>
  <c r="G8"/>
  <c r="B15"/>
  <c r="C15"/>
  <c r="E15"/>
  <c r="F15"/>
  <c r="D16"/>
  <c r="G16"/>
  <c r="B20"/>
  <c r="C20"/>
  <c r="E20"/>
  <c r="F20"/>
  <c r="B29"/>
  <c r="C29"/>
  <c r="E29"/>
  <c r="F29"/>
  <c r="B48"/>
  <c r="D40" s="1"/>
  <c r="D41"/>
  <c r="D46"/>
  <c r="E48"/>
  <c r="G47" s="1"/>
  <c r="D28" i="153"/>
  <c r="D20"/>
  <c r="D7"/>
  <c r="D50" s="1"/>
  <c r="C28"/>
  <c r="E28" s="1"/>
  <c r="C20"/>
  <c r="E20" s="1"/>
  <c r="C7"/>
  <c r="E7" s="1"/>
  <c r="E39"/>
  <c r="G39" s="1"/>
  <c r="E40"/>
  <c r="G40" s="1"/>
  <c r="E41"/>
  <c r="G41" s="1"/>
  <c r="E42"/>
  <c r="G42" s="1"/>
  <c r="E43"/>
  <c r="G43" s="1"/>
  <c r="E44"/>
  <c r="G44" s="1"/>
  <c r="E45"/>
  <c r="G45" s="1"/>
  <c r="E46"/>
  <c r="G46" s="1"/>
  <c r="E47"/>
  <c r="G47" s="1"/>
  <c r="E48"/>
  <c r="G48" s="1"/>
  <c r="E49"/>
  <c r="G49" s="1"/>
  <c r="F39"/>
  <c r="F43"/>
  <c r="F47"/>
  <c r="E22"/>
  <c r="G22" s="1"/>
  <c r="E23"/>
  <c r="G23" s="1"/>
  <c r="E24"/>
  <c r="G24" s="1"/>
  <c r="E25"/>
  <c r="G25" s="1"/>
  <c r="E26"/>
  <c r="G26" s="1"/>
  <c r="E27"/>
  <c r="G27" s="1"/>
  <c r="F22"/>
  <c r="E14"/>
  <c r="G14" s="1"/>
  <c r="E15"/>
  <c r="G15" s="1"/>
  <c r="E16"/>
  <c r="G16" s="1"/>
  <c r="E17"/>
  <c r="G17" s="1"/>
  <c r="E18"/>
  <c r="G18" s="1"/>
  <c r="E19"/>
  <c r="G19" s="1"/>
  <c r="F14"/>
  <c r="A2"/>
  <c r="E8"/>
  <c r="F8" s="1"/>
  <c r="E9"/>
  <c r="F9" s="1"/>
  <c r="G9"/>
  <c r="E10"/>
  <c r="F10" s="1"/>
  <c r="G10"/>
  <c r="E11"/>
  <c r="F11"/>
  <c r="G11"/>
  <c r="E12"/>
  <c r="F12" s="1"/>
  <c r="E13"/>
  <c r="F13"/>
  <c r="G13"/>
  <c r="E21"/>
  <c r="F21" s="1"/>
  <c r="E29"/>
  <c r="F29" s="1"/>
  <c r="G29"/>
  <c r="E30"/>
  <c r="F30" s="1"/>
  <c r="E31"/>
  <c r="F31" s="1"/>
  <c r="G31"/>
  <c r="E32"/>
  <c r="F32" s="1"/>
  <c r="G32"/>
  <c r="E33"/>
  <c r="F33"/>
  <c r="G33"/>
  <c r="E34"/>
  <c r="F34" s="1"/>
  <c r="E35"/>
  <c r="F35"/>
  <c r="G35"/>
  <c r="E36"/>
  <c r="F36" s="1"/>
  <c r="E37"/>
  <c r="F37" s="1"/>
  <c r="G37"/>
  <c r="E38"/>
  <c r="F38" s="1"/>
  <c r="A2" i="152"/>
  <c r="B26"/>
  <c r="D26"/>
  <c r="E12" s="1"/>
  <c r="F8"/>
  <c r="F9"/>
  <c r="F10"/>
  <c r="F11"/>
  <c r="F12"/>
  <c r="F13"/>
  <c r="F14"/>
  <c r="F15"/>
  <c r="F16"/>
  <c r="F17"/>
  <c r="F18"/>
  <c r="F19"/>
  <c r="F20"/>
  <c r="F21"/>
  <c r="F22"/>
  <c r="F23"/>
  <c r="F24"/>
  <c r="F25"/>
  <c r="H26"/>
  <c r="I8"/>
  <c r="I9"/>
  <c r="I11"/>
  <c r="I13"/>
  <c r="I15"/>
  <c r="I17"/>
  <c r="I19"/>
  <c r="I21"/>
  <c r="I23"/>
  <c r="I25"/>
  <c r="J26"/>
  <c r="K13" s="1"/>
  <c r="K21"/>
  <c r="L8"/>
  <c r="L9"/>
  <c r="L10"/>
  <c r="L11"/>
  <c r="L12"/>
  <c r="L13"/>
  <c r="L14"/>
  <c r="L15"/>
  <c r="L16"/>
  <c r="L17"/>
  <c r="L18"/>
  <c r="L19"/>
  <c r="L20"/>
  <c r="L21"/>
  <c r="L22"/>
  <c r="L23"/>
  <c r="L24"/>
  <c r="L25"/>
  <c r="N8"/>
  <c r="N9"/>
  <c r="N26" s="1"/>
  <c r="N10"/>
  <c r="N11"/>
  <c r="N12"/>
  <c r="N13"/>
  <c r="R13" s="1"/>
  <c r="N14"/>
  <c r="N15"/>
  <c r="N16"/>
  <c r="N17"/>
  <c r="N18"/>
  <c r="N19"/>
  <c r="R19" s="1"/>
  <c r="N20"/>
  <c r="N21"/>
  <c r="R21" s="1"/>
  <c r="N22"/>
  <c r="N23"/>
  <c r="N24"/>
  <c r="N25"/>
  <c r="P13"/>
  <c r="P14"/>
  <c r="P16"/>
  <c r="P18"/>
  <c r="R18" s="1"/>
  <c r="P20"/>
  <c r="R20" s="1"/>
  <c r="P24"/>
  <c r="P8"/>
  <c r="P9"/>
  <c r="P10"/>
  <c r="R10" s="1"/>
  <c r="P11"/>
  <c r="P12"/>
  <c r="P15"/>
  <c r="P17"/>
  <c r="P19"/>
  <c r="P21"/>
  <c r="P22"/>
  <c r="R22" s="1"/>
  <c r="P23"/>
  <c r="R23"/>
  <c r="P25"/>
  <c r="P26"/>
  <c r="Q13" s="1"/>
  <c r="R15"/>
  <c r="R25"/>
  <c r="C10"/>
  <c r="E11"/>
  <c r="C14"/>
  <c r="C15"/>
  <c r="C16"/>
  <c r="C19"/>
  <c r="E21"/>
  <c r="C24"/>
  <c r="C25"/>
  <c r="I13" i="151"/>
  <c r="H13"/>
  <c r="J13"/>
  <c r="D13"/>
  <c r="G13"/>
  <c r="A2"/>
  <c r="B7"/>
  <c r="B28" s="1"/>
  <c r="C7"/>
  <c r="D8"/>
  <c r="D9"/>
  <c r="D10"/>
  <c r="D11"/>
  <c r="D12"/>
  <c r="D14"/>
  <c r="D7"/>
  <c r="E7"/>
  <c r="H7"/>
  <c r="F7"/>
  <c r="I7"/>
  <c r="G8"/>
  <c r="H8"/>
  <c r="I8"/>
  <c r="J8"/>
  <c r="G9"/>
  <c r="H9"/>
  <c r="I9"/>
  <c r="J9"/>
  <c r="G10"/>
  <c r="H10"/>
  <c r="I10"/>
  <c r="J10"/>
  <c r="G11"/>
  <c r="H11"/>
  <c r="I11"/>
  <c r="J11"/>
  <c r="G12"/>
  <c r="H12"/>
  <c r="I12"/>
  <c r="J12"/>
  <c r="G14"/>
  <c r="H14"/>
  <c r="I14"/>
  <c r="J14"/>
  <c r="B15"/>
  <c r="C15"/>
  <c r="D16"/>
  <c r="D17"/>
  <c r="D18"/>
  <c r="D19"/>
  <c r="D15" s="1"/>
  <c r="E15"/>
  <c r="H15"/>
  <c r="F15"/>
  <c r="G15"/>
  <c r="G16"/>
  <c r="H16"/>
  <c r="I16"/>
  <c r="J16"/>
  <c r="G17"/>
  <c r="H17"/>
  <c r="I17"/>
  <c r="J17"/>
  <c r="G18"/>
  <c r="H18"/>
  <c r="I18"/>
  <c r="J18"/>
  <c r="G19"/>
  <c r="H19"/>
  <c r="I19"/>
  <c r="J19"/>
  <c r="B20"/>
  <c r="C20"/>
  <c r="F20"/>
  <c r="I20" s="1"/>
  <c r="D21"/>
  <c r="D22"/>
  <c r="D23"/>
  <c r="D24"/>
  <c r="D25"/>
  <c r="D26"/>
  <c r="D27"/>
  <c r="E20"/>
  <c r="G20" s="1"/>
  <c r="G21"/>
  <c r="H21"/>
  <c r="I21"/>
  <c r="J21" s="1"/>
  <c r="G22"/>
  <c r="H22"/>
  <c r="I22"/>
  <c r="J22" s="1"/>
  <c r="G23"/>
  <c r="H23"/>
  <c r="I23"/>
  <c r="J23" s="1"/>
  <c r="G24"/>
  <c r="H24"/>
  <c r="I24"/>
  <c r="J24" s="1"/>
  <c r="G25"/>
  <c r="H25"/>
  <c r="I25"/>
  <c r="J25" s="1"/>
  <c r="G26"/>
  <c r="H26"/>
  <c r="I26"/>
  <c r="J26" s="1"/>
  <c r="G27"/>
  <c r="H27"/>
  <c r="I27"/>
  <c r="J27" s="1"/>
  <c r="E28"/>
  <c r="H46" i="9"/>
  <c r="I46"/>
  <c r="G10"/>
  <c r="A2"/>
  <c r="G10" i="45"/>
  <c r="A2"/>
  <c r="B77" i="1"/>
  <c r="P11" i="62"/>
  <c r="N11"/>
  <c r="A2" i="100"/>
  <c r="B2" i="140"/>
  <c r="D22" i="86"/>
  <c r="A15"/>
  <c r="B24" i="141"/>
  <c r="A13"/>
  <c r="A17" i="75"/>
  <c r="D80" i="1"/>
  <c r="A16" i="65"/>
  <c r="D77" i="1"/>
  <c r="M19" i="31"/>
  <c r="I18" i="28"/>
  <c r="E18" i="105"/>
  <c r="E17"/>
  <c r="E16"/>
  <c r="E15"/>
  <c r="E14"/>
  <c r="E12"/>
  <c r="E11"/>
  <c r="E10"/>
  <c r="E9"/>
  <c r="E8"/>
  <c r="E7"/>
  <c r="E6"/>
  <c r="A2" i="101"/>
  <c r="A2" i="146"/>
  <c r="A2" i="78"/>
  <c r="A20" i="93"/>
  <c r="A2" i="77"/>
  <c r="A2" i="75"/>
  <c r="C28" i="68"/>
  <c r="D28"/>
  <c r="E28"/>
  <c r="F28"/>
  <c r="G28"/>
  <c r="H28"/>
  <c r="I28"/>
  <c r="J28"/>
  <c r="K28"/>
  <c r="B28"/>
  <c r="A19" i="50"/>
  <c r="A2"/>
  <c r="A2" i="49"/>
  <c r="A2" i="114"/>
  <c r="A14" i="45"/>
  <c r="A2" i="39"/>
  <c r="A2" i="35"/>
  <c r="A2" i="34"/>
  <c r="A2" i="33"/>
  <c r="A2" i="32"/>
  <c r="A2" i="31"/>
  <c r="A2" i="30"/>
  <c r="A2" i="29"/>
  <c r="A2" i="28"/>
  <c r="A2" i="27"/>
  <c r="A2" i="26"/>
  <c r="A2" i="128"/>
  <c r="H34" i="24"/>
  <c r="A2"/>
  <c r="A31" i="9"/>
  <c r="A2" i="6"/>
  <c r="D66" i="1"/>
  <c r="B66"/>
  <c r="B62"/>
  <c r="P8" i="102"/>
  <c r="P9"/>
  <c r="P10"/>
  <c r="P11"/>
  <c r="P12"/>
  <c r="P13"/>
  <c r="P14"/>
  <c r="P15"/>
  <c r="P16"/>
  <c r="P17"/>
  <c r="P18"/>
  <c r="P19"/>
  <c r="P7"/>
  <c r="J11" i="90"/>
  <c r="G11"/>
  <c r="K20" i="37"/>
  <c r="K28" s="1"/>
  <c r="K15"/>
  <c r="N26" i="31"/>
  <c r="N29"/>
  <c r="L11" i="54"/>
  <c r="C10" i="83"/>
  <c r="N19" i="31"/>
  <c r="N18" s="1"/>
  <c r="B50" i="1"/>
  <c r="D24"/>
  <c r="D23"/>
  <c r="E46" i="9"/>
  <c r="D22" i="1" s="1"/>
  <c r="D21"/>
  <c r="C46" i="9"/>
  <c r="K19" i="8"/>
  <c r="J19"/>
  <c r="D48" i="1"/>
  <c r="G19" i="45"/>
  <c r="G27" s="1"/>
  <c r="R30" i="146"/>
  <c r="E30" s="1"/>
  <c r="G30"/>
  <c r="K30"/>
  <c r="O30"/>
  <c r="R29"/>
  <c r="E29" s="1"/>
  <c r="R28"/>
  <c r="E28"/>
  <c r="I28"/>
  <c r="M28"/>
  <c r="O28"/>
  <c r="Q28"/>
  <c r="R27"/>
  <c r="E27"/>
  <c r="G27"/>
  <c r="O27"/>
  <c r="R26"/>
  <c r="E26"/>
  <c r="G26"/>
  <c r="I26"/>
  <c r="K26"/>
  <c r="M26"/>
  <c r="O26"/>
  <c r="Q26"/>
  <c r="R25"/>
  <c r="E25" s="1"/>
  <c r="R24"/>
  <c r="E24" s="1"/>
  <c r="I24"/>
  <c r="Q24"/>
  <c r="R23"/>
  <c r="E23" s="1"/>
  <c r="G23"/>
  <c r="R22"/>
  <c r="E22"/>
  <c r="G22"/>
  <c r="K22"/>
  <c r="O22"/>
  <c r="R21"/>
  <c r="E21" s="1"/>
  <c r="R20"/>
  <c r="E20"/>
  <c r="I20"/>
  <c r="Q20"/>
  <c r="R19"/>
  <c r="E19"/>
  <c r="G19"/>
  <c r="O19"/>
  <c r="R18"/>
  <c r="E18"/>
  <c r="G18"/>
  <c r="I18"/>
  <c r="K18"/>
  <c r="M18"/>
  <c r="O18"/>
  <c r="Q18"/>
  <c r="R17"/>
  <c r="E17" s="1"/>
  <c r="R16"/>
  <c r="E16" s="1"/>
  <c r="I16"/>
  <c r="Q16"/>
  <c r="R15"/>
  <c r="E15" s="1"/>
  <c r="G15"/>
  <c r="R14"/>
  <c r="E14"/>
  <c r="G14"/>
  <c r="K14"/>
  <c r="O14"/>
  <c r="R13"/>
  <c r="E13" s="1"/>
  <c r="R12"/>
  <c r="E12"/>
  <c r="I12"/>
  <c r="Q12"/>
  <c r="R11"/>
  <c r="E11"/>
  <c r="G11"/>
  <c r="O11"/>
  <c r="R10"/>
  <c r="E10"/>
  <c r="G10"/>
  <c r="I10"/>
  <c r="K10"/>
  <c r="M10"/>
  <c r="O10"/>
  <c r="Q10"/>
  <c r="R9"/>
  <c r="E9" s="1"/>
  <c r="R8"/>
  <c r="E8" s="1"/>
  <c r="I8"/>
  <c r="Q8"/>
  <c r="R7"/>
  <c r="E7" s="1"/>
  <c r="G7"/>
  <c r="Q8" i="102"/>
  <c r="Q9"/>
  <c r="Q10"/>
  <c r="Q11"/>
  <c r="Q12"/>
  <c r="Q13"/>
  <c r="Q14"/>
  <c r="Q15"/>
  <c r="Q16"/>
  <c r="Q17"/>
  <c r="Q18"/>
  <c r="B68" i="1"/>
  <c r="B40"/>
  <c r="B37"/>
  <c r="B26"/>
  <c r="B10"/>
  <c r="B6"/>
  <c r="F10" i="93"/>
  <c r="C11"/>
  <c r="C10"/>
  <c r="D81" i="1"/>
  <c r="F13" i="75"/>
  <c r="I12" i="60"/>
  <c r="I20"/>
  <c r="I25"/>
  <c r="H12"/>
  <c r="H20"/>
  <c r="H25"/>
  <c r="G12"/>
  <c r="G10" s="1"/>
  <c r="C12" i="39"/>
  <c r="C10" s="1"/>
  <c r="B12"/>
  <c r="C13" i="128"/>
  <c r="C21"/>
  <c r="C26"/>
  <c r="D13"/>
  <c r="D11" s="1"/>
  <c r="D21"/>
  <c r="D26"/>
  <c r="D27" i="26"/>
  <c r="D28"/>
  <c r="D29"/>
  <c r="D30"/>
  <c r="D31"/>
  <c r="D32"/>
  <c r="D26"/>
  <c r="D21"/>
  <c r="D22"/>
  <c r="D20" s="1"/>
  <c r="D23"/>
  <c r="D24"/>
  <c r="D14"/>
  <c r="D15"/>
  <c r="D16"/>
  <c r="D17"/>
  <c r="D18"/>
  <c r="D19"/>
  <c r="D13"/>
  <c r="J21" i="23"/>
  <c r="J23"/>
  <c r="G14"/>
  <c r="A2" i="104"/>
  <c r="K8" i="6"/>
  <c r="A2" i="85"/>
  <c r="A2" i="137"/>
  <c r="A2" i="102"/>
  <c r="A2" i="98"/>
  <c r="A2" i="129"/>
  <c r="A2" i="86"/>
  <c r="A2" i="141"/>
  <c r="A2" i="61"/>
  <c r="A2" i="60"/>
  <c r="A29" i="56"/>
  <c r="A15"/>
  <c r="A2"/>
  <c r="B20" i="54"/>
  <c r="B2"/>
  <c r="A2" i="52"/>
  <c r="A2" i="53"/>
  <c r="A14" i="83"/>
  <c r="A2"/>
  <c r="A36" i="40"/>
  <c r="I8" i="34"/>
  <c r="M14" i="31"/>
  <c r="N9"/>
  <c r="M9"/>
  <c r="A2" i="23"/>
  <c r="A2" i="15"/>
  <c r="A20" i="130"/>
  <c r="B4" i="148"/>
  <c r="B12" i="129"/>
  <c r="L10" i="43"/>
  <c r="L31" i="51"/>
  <c r="D11" i="40"/>
  <c r="B11"/>
  <c r="B13" i="128"/>
  <c r="B11" i="26"/>
  <c r="C12"/>
  <c r="B12"/>
  <c r="I26" i="24"/>
  <c r="H26"/>
  <c r="G26"/>
  <c r="I12" i="93"/>
  <c r="I13"/>
  <c r="I14"/>
  <c r="I15"/>
  <c r="M11" i="90"/>
  <c r="F18" i="88"/>
  <c r="F24" i="75"/>
  <c r="B10" i="40"/>
  <c r="B11" i="39"/>
  <c r="B20" i="26"/>
  <c r="I21" i="24"/>
  <c r="G21"/>
  <c r="J15" i="23"/>
  <c r="J19"/>
  <c r="A23" i="105"/>
  <c r="A2"/>
  <c r="B2" i="132"/>
  <c r="C28" i="2"/>
  <c r="H28"/>
  <c r="A2"/>
  <c r="A11"/>
  <c r="A23" i="8"/>
  <c r="G12" i="77"/>
  <c r="G20"/>
  <c r="G25"/>
  <c r="F12"/>
  <c r="F10" s="1"/>
  <c r="E12"/>
  <c r="E20"/>
  <c r="E25"/>
  <c r="D12"/>
  <c r="D10" s="1"/>
  <c r="C12"/>
  <c r="C10" s="1"/>
  <c r="C20"/>
  <c r="C25"/>
  <c r="B12"/>
  <c r="B10" s="1"/>
  <c r="B11"/>
  <c r="A2" i="88"/>
  <c r="A18" i="90"/>
  <c r="A2"/>
  <c r="K29" i="93"/>
  <c r="I10"/>
  <c r="A2"/>
  <c r="A2" i="135"/>
  <c r="A26"/>
  <c r="A13"/>
  <c r="K33" i="78"/>
  <c r="K32"/>
  <c r="F32"/>
  <c r="K16"/>
  <c r="F16"/>
  <c r="L32" i="140"/>
  <c r="L11"/>
  <c r="K31"/>
  <c r="B14"/>
  <c r="L10"/>
  <c r="G10"/>
  <c r="A2" i="81"/>
  <c r="M24"/>
  <c r="A18"/>
  <c r="A2" i="43"/>
  <c r="B20" i="129"/>
  <c r="B25"/>
  <c r="B10" s="1"/>
  <c r="D85" i="1" s="1"/>
  <c r="B11" i="129"/>
  <c r="A6" i="98"/>
  <c r="A7"/>
  <c r="A8" s="1"/>
  <c r="A9" s="1"/>
  <c r="A10" s="1"/>
  <c r="A11" s="1"/>
  <c r="A17"/>
  <c r="Q7" i="102"/>
  <c r="R18" i="6"/>
  <c r="R25"/>
  <c r="R21"/>
  <c r="R10"/>
  <c r="R9"/>
  <c r="P17"/>
  <c r="D17"/>
  <c r="R11"/>
  <c r="R12"/>
  <c r="R13"/>
  <c r="R15"/>
  <c r="Q8"/>
  <c r="Q17"/>
  <c r="Q22"/>
  <c r="P8"/>
  <c r="O8"/>
  <c r="N8"/>
  <c r="N17"/>
  <c r="N22"/>
  <c r="N30" s="1"/>
  <c r="M8"/>
  <c r="L8"/>
  <c r="I8"/>
  <c r="F8"/>
  <c r="F30" s="1"/>
  <c r="D15" i="1" s="1"/>
  <c r="E8" i="6"/>
  <c r="D8"/>
  <c r="R29"/>
  <c r="R20"/>
  <c r="O22"/>
  <c r="O17"/>
  <c r="K22"/>
  <c r="K17"/>
  <c r="J22"/>
  <c r="J17"/>
  <c r="M22"/>
  <c r="M17"/>
  <c r="L22"/>
  <c r="L17"/>
  <c r="P22"/>
  <c r="R19"/>
  <c r="R23"/>
  <c r="R24"/>
  <c r="R26"/>
  <c r="R27"/>
  <c r="R28"/>
  <c r="D22"/>
  <c r="E22"/>
  <c r="E17"/>
  <c r="F22"/>
  <c r="F17"/>
  <c r="G22"/>
  <c r="H22"/>
  <c r="I22"/>
  <c r="I17"/>
  <c r="B30"/>
  <c r="AB26" i="136"/>
  <c r="AA26"/>
  <c r="AC26" s="1"/>
  <c r="AB25"/>
  <c r="AA25"/>
  <c r="AC25" s="1"/>
  <c r="AB24"/>
  <c r="AA24"/>
  <c r="AC24" s="1"/>
  <c r="AB23"/>
  <c r="AA23"/>
  <c r="AB22"/>
  <c r="AA22"/>
  <c r="AB21"/>
  <c r="AA21"/>
  <c r="AB20"/>
  <c r="AC20" s="1"/>
  <c r="AA20"/>
  <c r="AB18"/>
  <c r="AA18"/>
  <c r="AB17"/>
  <c r="AA17"/>
  <c r="AC17"/>
  <c r="AB16"/>
  <c r="AA16"/>
  <c r="AC16" s="1"/>
  <c r="AB15"/>
  <c r="AA15"/>
  <c r="AC15" s="1"/>
  <c r="AB13"/>
  <c r="AA13"/>
  <c r="AC13" s="1"/>
  <c r="AB12"/>
  <c r="AA12"/>
  <c r="AB11"/>
  <c r="AA11"/>
  <c r="AC11"/>
  <c r="AB10"/>
  <c r="AC10"/>
  <c r="AA10"/>
  <c r="AB9"/>
  <c r="AA9"/>
  <c r="AC9"/>
  <c r="AB8"/>
  <c r="AB7"/>
  <c r="AA8"/>
  <c r="AC8"/>
  <c r="AB14"/>
  <c r="Z8"/>
  <c r="Z9"/>
  <c r="Z10"/>
  <c r="Z11"/>
  <c r="Z12"/>
  <c r="Z13"/>
  <c r="Z15"/>
  <c r="Z16"/>
  <c r="Z17"/>
  <c r="Z18"/>
  <c r="Z20"/>
  <c r="Z21"/>
  <c r="Z22"/>
  <c r="Z23"/>
  <c r="Z24"/>
  <c r="Z25"/>
  <c r="Z26"/>
  <c r="Y7"/>
  <c r="Y14"/>
  <c r="Y19"/>
  <c r="Y27" s="1"/>
  <c r="X7"/>
  <c r="X14"/>
  <c r="X19"/>
  <c r="X27" s="1"/>
  <c r="W8"/>
  <c r="W9"/>
  <c r="W10"/>
  <c r="W11"/>
  <c r="W12"/>
  <c r="W13"/>
  <c r="W15"/>
  <c r="W16"/>
  <c r="W17"/>
  <c r="W18"/>
  <c r="W20"/>
  <c r="W21"/>
  <c r="W22"/>
  <c r="W23"/>
  <c r="W24"/>
  <c r="W25"/>
  <c r="W26"/>
  <c r="V7"/>
  <c r="V14"/>
  <c r="V19"/>
  <c r="U7"/>
  <c r="U14"/>
  <c r="U19"/>
  <c r="U27" s="1"/>
  <c r="T8"/>
  <c r="T9"/>
  <c r="T10"/>
  <c r="T11"/>
  <c r="T12"/>
  <c r="T13"/>
  <c r="T15"/>
  <c r="T16"/>
  <c r="T17"/>
  <c r="T18"/>
  <c r="T20"/>
  <c r="T21"/>
  <c r="T22"/>
  <c r="T23"/>
  <c r="T24"/>
  <c r="T25"/>
  <c r="T26"/>
  <c r="S7"/>
  <c r="S14"/>
  <c r="S19"/>
  <c r="S27" s="1"/>
  <c r="R7"/>
  <c r="R14"/>
  <c r="R19"/>
  <c r="R27" s="1"/>
  <c r="Q8"/>
  <c r="Q9"/>
  <c r="Q10"/>
  <c r="Q11"/>
  <c r="Q12"/>
  <c r="Q13"/>
  <c r="Q15"/>
  <c r="Q16"/>
  <c r="Q17"/>
  <c r="Q18"/>
  <c r="Q20"/>
  <c r="Q21"/>
  <c r="Q22"/>
  <c r="Q23"/>
  <c r="Q24"/>
  <c r="Q25"/>
  <c r="Q26"/>
  <c r="P7"/>
  <c r="P14"/>
  <c r="P19"/>
  <c r="O7"/>
  <c r="O14"/>
  <c r="O19"/>
  <c r="O27" s="1"/>
  <c r="M8"/>
  <c r="M9"/>
  <c r="M7" s="1"/>
  <c r="M10"/>
  <c r="M11"/>
  <c r="M12"/>
  <c r="M13"/>
  <c r="M15"/>
  <c r="M16"/>
  <c r="M17"/>
  <c r="M18"/>
  <c r="M20"/>
  <c r="M21"/>
  <c r="M22"/>
  <c r="M23"/>
  <c r="M24"/>
  <c r="M25"/>
  <c r="M26"/>
  <c r="L7"/>
  <c r="L14"/>
  <c r="L19"/>
  <c r="K7"/>
  <c r="K14"/>
  <c r="K19"/>
  <c r="K27" s="1"/>
  <c r="J8"/>
  <c r="J9"/>
  <c r="J7" s="1"/>
  <c r="J10"/>
  <c r="J11"/>
  <c r="J12"/>
  <c r="J13"/>
  <c r="J15"/>
  <c r="J16"/>
  <c r="J17"/>
  <c r="J18"/>
  <c r="J20"/>
  <c r="J21"/>
  <c r="J22"/>
  <c r="J23"/>
  <c r="J24"/>
  <c r="J25"/>
  <c r="J26"/>
  <c r="I7"/>
  <c r="I14"/>
  <c r="I19"/>
  <c r="H7"/>
  <c r="H14"/>
  <c r="H19"/>
  <c r="H27" s="1"/>
  <c r="G8"/>
  <c r="G9"/>
  <c r="G10"/>
  <c r="G11"/>
  <c r="G12"/>
  <c r="G13"/>
  <c r="G15"/>
  <c r="G16"/>
  <c r="G17"/>
  <c r="G18"/>
  <c r="G20"/>
  <c r="G21"/>
  <c r="G22"/>
  <c r="G23"/>
  <c r="G24"/>
  <c r="G25"/>
  <c r="G26"/>
  <c r="F7"/>
  <c r="F14"/>
  <c r="F19"/>
  <c r="F27" s="1"/>
  <c r="E7"/>
  <c r="E14"/>
  <c r="E19"/>
  <c r="E27" s="1"/>
  <c r="D8"/>
  <c r="D9"/>
  <c r="D10"/>
  <c r="D11"/>
  <c r="D12"/>
  <c r="D13"/>
  <c r="D15"/>
  <c r="D16"/>
  <c r="D17"/>
  <c r="D18"/>
  <c r="D20"/>
  <c r="D21"/>
  <c r="D22"/>
  <c r="D23"/>
  <c r="D24"/>
  <c r="D25"/>
  <c r="D26"/>
  <c r="C7"/>
  <c r="C14"/>
  <c r="C19"/>
  <c r="B7"/>
  <c r="B14"/>
  <c r="B19"/>
  <c r="B27" s="1"/>
  <c r="A2" i="130"/>
  <c r="F15"/>
  <c r="F16"/>
  <c r="C36" i="9"/>
  <c r="C37"/>
  <c r="C38"/>
  <c r="C39"/>
  <c r="C40"/>
  <c r="C41"/>
  <c r="C42"/>
  <c r="C43"/>
  <c r="C44"/>
  <c r="C45"/>
  <c r="C35"/>
  <c r="H45"/>
  <c r="I45" s="1"/>
  <c r="E45"/>
  <c r="F45" s="1"/>
  <c r="H44"/>
  <c r="I44" s="1"/>
  <c r="E44"/>
  <c r="F44" s="1"/>
  <c r="H43"/>
  <c r="I43" s="1"/>
  <c r="E43"/>
  <c r="F43" s="1"/>
  <c r="H42"/>
  <c r="I42" s="1"/>
  <c r="E42"/>
  <c r="F42" s="1"/>
  <c r="H41"/>
  <c r="I41" s="1"/>
  <c r="E41"/>
  <c r="F41" s="1"/>
  <c r="H40"/>
  <c r="I40" s="1"/>
  <c r="E40"/>
  <c r="F40" s="1"/>
  <c r="H39"/>
  <c r="I39" s="1"/>
  <c r="E39"/>
  <c r="F39" s="1"/>
  <c r="H38"/>
  <c r="I38" s="1"/>
  <c r="E38"/>
  <c r="F38" s="1"/>
  <c r="H37"/>
  <c r="I37" s="1"/>
  <c r="E37"/>
  <c r="F37" s="1"/>
  <c r="H36"/>
  <c r="I36" s="1"/>
  <c r="E36"/>
  <c r="F36" s="1"/>
  <c r="H35"/>
  <c r="I35" s="1"/>
  <c r="E35"/>
  <c r="F35" s="1"/>
  <c r="C18"/>
  <c r="C13"/>
  <c r="G13" s="1"/>
  <c r="C5"/>
  <c r="G5" s="1"/>
  <c r="G6"/>
  <c r="G7"/>
  <c r="G8"/>
  <c r="G9"/>
  <c r="G12"/>
  <c r="G14"/>
  <c r="G15"/>
  <c r="G16"/>
  <c r="G17"/>
  <c r="G18"/>
  <c r="G19"/>
  <c r="G20"/>
  <c r="G21"/>
  <c r="G22"/>
  <c r="G23"/>
  <c r="G25"/>
  <c r="G24"/>
  <c r="A2" i="116"/>
  <c r="C19"/>
  <c r="C27" s="1"/>
  <c r="F19"/>
  <c r="C14"/>
  <c r="I14" s="1"/>
  <c r="J14" s="1"/>
  <c r="F14"/>
  <c r="C7"/>
  <c r="F7"/>
  <c r="E19"/>
  <c r="E27" s="1"/>
  <c r="E14"/>
  <c r="E7"/>
  <c r="D8"/>
  <c r="D9"/>
  <c r="D10"/>
  <c r="D11"/>
  <c r="B7"/>
  <c r="H7" s="1"/>
  <c r="J7" s="1"/>
  <c r="B14"/>
  <c r="B19"/>
  <c r="H25"/>
  <c r="I25"/>
  <c r="J25"/>
  <c r="H26"/>
  <c r="I26"/>
  <c r="J26" s="1"/>
  <c r="H24"/>
  <c r="I24"/>
  <c r="J24" s="1"/>
  <c r="H23"/>
  <c r="I23"/>
  <c r="H22"/>
  <c r="I22"/>
  <c r="J22"/>
  <c r="H21"/>
  <c r="I21"/>
  <c r="J21" s="1"/>
  <c r="H20"/>
  <c r="I20"/>
  <c r="J20" s="1"/>
  <c r="H18"/>
  <c r="I18"/>
  <c r="H17"/>
  <c r="I17"/>
  <c r="J17"/>
  <c r="H16"/>
  <c r="I16"/>
  <c r="J16" s="1"/>
  <c r="H15"/>
  <c r="I15"/>
  <c r="J15" s="1"/>
  <c r="H13"/>
  <c r="I13"/>
  <c r="H12"/>
  <c r="I12"/>
  <c r="J12"/>
  <c r="H11"/>
  <c r="I11"/>
  <c r="J11" s="1"/>
  <c r="H10"/>
  <c r="I10"/>
  <c r="J10" s="1"/>
  <c r="H9"/>
  <c r="I9"/>
  <c r="H8"/>
  <c r="I8"/>
  <c r="J8"/>
  <c r="G25"/>
  <c r="G26"/>
  <c r="G24"/>
  <c r="G23"/>
  <c r="G22"/>
  <c r="G21"/>
  <c r="G20"/>
  <c r="G18"/>
  <c r="G17"/>
  <c r="G16"/>
  <c r="G15"/>
  <c r="G13"/>
  <c r="G12"/>
  <c r="G11"/>
  <c r="G10"/>
  <c r="G9"/>
  <c r="G8"/>
  <c r="D20"/>
  <c r="D21"/>
  <c r="D22"/>
  <c r="D23"/>
  <c r="D24"/>
  <c r="D25"/>
  <c r="D26"/>
  <c r="D15"/>
  <c r="D16"/>
  <c r="D14" s="1"/>
  <c r="D27" s="1"/>
  <c r="D17"/>
  <c r="D18"/>
  <c r="D12"/>
  <c r="D13"/>
  <c r="P19" i="15"/>
  <c r="P8"/>
  <c r="P9"/>
  <c r="P10"/>
  <c r="P11"/>
  <c r="P12"/>
  <c r="P13"/>
  <c r="P14"/>
  <c r="P15"/>
  <c r="P16"/>
  <c r="P17"/>
  <c r="P18"/>
  <c r="P20"/>
  <c r="P21"/>
  <c r="P22"/>
  <c r="P23"/>
  <c r="P24"/>
  <c r="P25"/>
  <c r="N18"/>
  <c r="R18" s="1"/>
  <c r="N8"/>
  <c r="N9"/>
  <c r="N10"/>
  <c r="N11"/>
  <c r="R11"/>
  <c r="N12"/>
  <c r="N13"/>
  <c r="N14"/>
  <c r="N15"/>
  <c r="R15" s="1"/>
  <c r="N16"/>
  <c r="N17"/>
  <c r="N19"/>
  <c r="R19" s="1"/>
  <c r="N20"/>
  <c r="N21"/>
  <c r="R21" s="1"/>
  <c r="N22"/>
  <c r="N23"/>
  <c r="R23" s="1"/>
  <c r="N24"/>
  <c r="N25"/>
  <c r="R25" s="1"/>
  <c r="L22"/>
  <c r="L8"/>
  <c r="L9"/>
  <c r="L10"/>
  <c r="L11"/>
  <c r="L12"/>
  <c r="L13"/>
  <c r="L14"/>
  <c r="L15"/>
  <c r="L16"/>
  <c r="L17"/>
  <c r="L18"/>
  <c r="L19"/>
  <c r="L20"/>
  <c r="L21"/>
  <c r="L23"/>
  <c r="L24"/>
  <c r="L25"/>
  <c r="H26"/>
  <c r="I8"/>
  <c r="I9"/>
  <c r="I11"/>
  <c r="I13"/>
  <c r="I15"/>
  <c r="I17"/>
  <c r="I19"/>
  <c r="I21"/>
  <c r="I23"/>
  <c r="I25"/>
  <c r="D26"/>
  <c r="E17" s="1"/>
  <c r="B26"/>
  <c r="E8"/>
  <c r="C17"/>
  <c r="C21"/>
  <c r="C9"/>
  <c r="C13"/>
  <c r="J26"/>
  <c r="F8"/>
  <c r="F9"/>
  <c r="F10"/>
  <c r="F11"/>
  <c r="F12"/>
  <c r="F13"/>
  <c r="F14"/>
  <c r="F15"/>
  <c r="F16"/>
  <c r="F17"/>
  <c r="F18"/>
  <c r="F19"/>
  <c r="F20"/>
  <c r="F21"/>
  <c r="F22"/>
  <c r="F23"/>
  <c r="F24"/>
  <c r="F25"/>
  <c r="J29" i="23"/>
  <c r="J30"/>
  <c r="J31"/>
  <c r="J32"/>
  <c r="J33"/>
  <c r="J34"/>
  <c r="J24"/>
  <c r="J25"/>
  <c r="J22" s="1"/>
  <c r="J26"/>
  <c r="J28"/>
  <c r="J27" s="1"/>
  <c r="J16"/>
  <c r="J17"/>
  <c r="J18"/>
  <c r="J20"/>
  <c r="B13"/>
  <c r="F22"/>
  <c r="G27"/>
  <c r="C14"/>
  <c r="C27"/>
  <c r="C22"/>
  <c r="D22"/>
  <c r="D12" s="1"/>
  <c r="E14"/>
  <c r="E22"/>
  <c r="E27"/>
  <c r="F14"/>
  <c r="F27"/>
  <c r="H14"/>
  <c r="H27"/>
  <c r="H12" s="1"/>
  <c r="I14"/>
  <c r="I22"/>
  <c r="I27"/>
  <c r="K14"/>
  <c r="K12" s="1"/>
  <c r="D40" i="1" s="1"/>
  <c r="K22" i="23"/>
  <c r="K27"/>
  <c r="B14"/>
  <c r="B22"/>
  <c r="B27"/>
  <c r="B12" i="24"/>
  <c r="F13"/>
  <c r="F21"/>
  <c r="F26"/>
  <c r="G13"/>
  <c r="G11" s="1"/>
  <c r="H13"/>
  <c r="H21"/>
  <c r="I13"/>
  <c r="I11" s="1"/>
  <c r="C13"/>
  <c r="C21"/>
  <c r="C26"/>
  <c r="D26"/>
  <c r="D13"/>
  <c r="D21"/>
  <c r="E14"/>
  <c r="E15"/>
  <c r="E16"/>
  <c r="E17"/>
  <c r="E18"/>
  <c r="E19"/>
  <c r="E13"/>
  <c r="E22"/>
  <c r="E23"/>
  <c r="E24"/>
  <c r="E25"/>
  <c r="B13"/>
  <c r="B21"/>
  <c r="B26"/>
  <c r="E32"/>
  <c r="E28"/>
  <c r="E29"/>
  <c r="E30"/>
  <c r="E31"/>
  <c r="E33"/>
  <c r="E27"/>
  <c r="F33" i="25"/>
  <c r="B11"/>
  <c r="C25"/>
  <c r="C12"/>
  <c r="C20"/>
  <c r="C10"/>
  <c r="D25"/>
  <c r="D12"/>
  <c r="D20"/>
  <c r="D10"/>
  <c r="E25"/>
  <c r="E12"/>
  <c r="E20"/>
  <c r="E10"/>
  <c r="F25"/>
  <c r="F12"/>
  <c r="F20"/>
  <c r="F10"/>
  <c r="B12"/>
  <c r="B20"/>
  <c r="A2"/>
  <c r="C25" i="26"/>
  <c r="C20"/>
  <c r="C10"/>
  <c r="B25"/>
  <c r="B10"/>
  <c r="B12" i="128"/>
  <c r="E26"/>
  <c r="B21"/>
  <c r="B26"/>
  <c r="B11" s="1"/>
  <c r="I8" i="27"/>
  <c r="I13"/>
  <c r="I18"/>
  <c r="I23"/>
  <c r="I8" i="28"/>
  <c r="I7" s="1"/>
  <c r="I35" s="1"/>
  <c r="I36"/>
  <c r="I28"/>
  <c r="I17" s="1"/>
  <c r="I19" i="29"/>
  <c r="N24" i="30"/>
  <c r="M24"/>
  <c r="N19"/>
  <c r="M19"/>
  <c r="N14"/>
  <c r="M14"/>
  <c r="N9"/>
  <c r="M9"/>
  <c r="N8"/>
  <c r="M8"/>
  <c r="M26" i="31"/>
  <c r="K37"/>
  <c r="M8"/>
  <c r="M29"/>
  <c r="N14"/>
  <c r="N8"/>
  <c r="N36" s="1"/>
  <c r="N20" i="32"/>
  <c r="M20"/>
  <c r="I8" i="33"/>
  <c r="I13"/>
  <c r="I7" s="1"/>
  <c r="I18"/>
  <c r="I23"/>
  <c r="I13" i="34"/>
  <c r="I7" s="1"/>
  <c r="I35" s="1"/>
  <c r="I18"/>
  <c r="I28"/>
  <c r="I25"/>
  <c r="I36"/>
  <c r="I19" i="35"/>
  <c r="M20" i="37"/>
  <c r="L20"/>
  <c r="G20"/>
  <c r="G15"/>
  <c r="G28" s="1"/>
  <c r="F20"/>
  <c r="F28" s="1"/>
  <c r="E20"/>
  <c r="E15"/>
  <c r="E28" s="1"/>
  <c r="C20"/>
  <c r="T20"/>
  <c r="T15"/>
  <c r="T28" s="1"/>
  <c r="B20"/>
  <c r="B15"/>
  <c r="S15"/>
  <c r="C15"/>
  <c r="C28"/>
  <c r="U20"/>
  <c r="U15"/>
  <c r="O20"/>
  <c r="O15"/>
  <c r="O28" s="1"/>
  <c r="Q15"/>
  <c r="Q20"/>
  <c r="Q28" s="1"/>
  <c r="H15"/>
  <c r="H28" s="1"/>
  <c r="V20"/>
  <c r="V15"/>
  <c r="W20"/>
  <c r="W15"/>
  <c r="W28"/>
  <c r="P15"/>
  <c r="R20"/>
  <c r="R15"/>
  <c r="R28"/>
  <c r="S20"/>
  <c r="S28"/>
  <c r="I15"/>
  <c r="I28"/>
  <c r="J15"/>
  <c r="J28"/>
  <c r="L15"/>
  <c r="M15"/>
  <c r="D20"/>
  <c r="D15"/>
  <c r="D28" s="1"/>
  <c r="F15"/>
  <c r="P20"/>
  <c r="P28" s="1"/>
  <c r="D12" i="39"/>
  <c r="B10"/>
  <c r="C33"/>
  <c r="B51" i="40"/>
  <c r="B44"/>
  <c r="G51"/>
  <c r="B45"/>
  <c r="G32"/>
  <c r="G52"/>
  <c r="B9"/>
  <c r="G42" i="45"/>
  <c r="G7" i="114"/>
  <c r="G15" s="1"/>
  <c r="G25"/>
  <c r="L19" i="51"/>
  <c r="A2"/>
  <c r="G31"/>
  <c r="G19"/>
  <c r="G15" i="53"/>
  <c r="A2" i="59"/>
  <c r="G10"/>
  <c r="G15"/>
  <c r="G26"/>
  <c r="B11" i="60"/>
  <c r="F12"/>
  <c r="C12"/>
  <c r="D12"/>
  <c r="E12"/>
  <c r="B12"/>
  <c r="C10"/>
  <c r="D10"/>
  <c r="E10"/>
  <c r="B10"/>
  <c r="G35" i="61"/>
  <c r="G47"/>
  <c r="F35"/>
  <c r="F47"/>
  <c r="G46"/>
  <c r="F46"/>
  <c r="G45"/>
  <c r="F45"/>
  <c r="G44"/>
  <c r="F44"/>
  <c r="G43"/>
  <c r="F43"/>
  <c r="E44"/>
  <c r="D44"/>
  <c r="D43"/>
  <c r="E43"/>
  <c r="C44"/>
  <c r="C43"/>
  <c r="C35"/>
  <c r="C47"/>
  <c r="D73" i="1" s="1"/>
  <c r="D35" i="61"/>
  <c r="D47" s="1"/>
  <c r="D74" i="1" s="1"/>
  <c r="E35" i="61"/>
  <c r="E47" s="1"/>
  <c r="D75" i="1" s="1"/>
  <c r="C46" i="61"/>
  <c r="D46"/>
  <c r="E46"/>
  <c r="E45"/>
  <c r="D45"/>
  <c r="C45"/>
  <c r="A20" i="62"/>
  <c r="A2"/>
  <c r="F21" i="65"/>
  <c r="F37" s="1"/>
  <c r="D70" i="1" s="1"/>
  <c r="J10" i="143"/>
  <c r="A2" i="69"/>
  <c r="C20" i="141"/>
  <c r="D20"/>
  <c r="E20"/>
  <c r="F20"/>
  <c r="G20"/>
  <c r="H20"/>
  <c r="I20"/>
  <c r="J18"/>
  <c r="J19"/>
  <c r="K18"/>
  <c r="K19"/>
  <c r="K20" s="1"/>
  <c r="L18"/>
  <c r="L19"/>
  <c r="M18"/>
  <c r="M19"/>
  <c r="B20"/>
  <c r="D9"/>
  <c r="E9"/>
  <c r="F9"/>
  <c r="G9"/>
  <c r="H9"/>
  <c r="I9"/>
  <c r="J7"/>
  <c r="J8"/>
  <c r="J9" s="1"/>
  <c r="K7"/>
  <c r="K8"/>
  <c r="K9" s="1"/>
  <c r="L7"/>
  <c r="L8"/>
  <c r="M7"/>
  <c r="M8"/>
  <c r="M9" s="1"/>
  <c r="C9"/>
  <c r="B9"/>
  <c r="D82" i="1"/>
  <c r="D86"/>
  <c r="D83"/>
  <c r="D71"/>
  <c r="D34"/>
  <c r="D33"/>
  <c r="B38"/>
  <c r="D79"/>
  <c r="D68"/>
  <c r="D26"/>
  <c r="D35"/>
  <c r="D28"/>
  <c r="D27"/>
  <c r="A1"/>
  <c r="D12"/>
  <c r="B79"/>
  <c r="B70"/>
  <c r="B43"/>
  <c r="B33"/>
  <c r="D7"/>
  <c r="D6"/>
  <c r="D47"/>
  <c r="D46"/>
  <c r="D45"/>
  <c r="D44"/>
  <c r="D43"/>
  <c r="D5"/>
  <c r="A5" i="109"/>
  <c r="A6"/>
  <c r="A7" s="1"/>
  <c r="A9" s="1"/>
  <c r="A10" s="1"/>
  <c r="A11" s="1"/>
  <c r="A12" s="1"/>
  <c r="A13" s="1"/>
  <c r="A14" s="1"/>
  <c r="A15" s="1"/>
  <c r="A16" s="1"/>
  <c r="A17" s="1"/>
  <c r="A18" s="1"/>
  <c r="A19" s="1"/>
  <c r="A20" s="1"/>
  <c r="A21" s="1"/>
  <c r="A22" s="1"/>
  <c r="A23" s="1"/>
  <c r="A24" s="1"/>
  <c r="A26" s="1"/>
  <c r="A27" s="1"/>
  <c r="A28" s="1"/>
  <c r="A29" s="1"/>
  <c r="A30" s="1"/>
  <c r="A32" s="1"/>
  <c r="A33" s="1"/>
  <c r="A34" s="1"/>
  <c r="A35" s="1"/>
  <c r="A36" s="1"/>
  <c r="A37" s="1"/>
  <c r="A38" s="1"/>
  <c r="A39" s="1"/>
  <c r="A40" s="1"/>
  <c r="A41" s="1"/>
  <c r="A42" s="1"/>
  <c r="A43" s="1"/>
  <c r="A44" s="1"/>
  <c r="A45" s="1"/>
  <c r="A47" s="1"/>
  <c r="A48" s="1"/>
  <c r="A49" s="1"/>
  <c r="A50" s="1"/>
  <c r="A51" s="1"/>
  <c r="A52" s="1"/>
  <c r="A53" s="1"/>
  <c r="A54" s="1"/>
  <c r="A55" s="1"/>
  <c r="A56" s="1"/>
  <c r="A57" s="1"/>
  <c r="A58" s="1"/>
  <c r="A59" s="1"/>
  <c r="A60" s="1"/>
  <c r="A61" s="1"/>
  <c r="A62" s="1"/>
  <c r="A63" s="1"/>
  <c r="A68" s="1"/>
  <c r="A69" s="1"/>
  <c r="A71" s="1"/>
  <c r="A72" s="1"/>
  <c r="A73" s="1"/>
  <c r="A75" s="1"/>
  <c r="A76" s="1"/>
  <c r="A77" s="1"/>
  <c r="A78" s="1"/>
  <c r="A79" s="1"/>
  <c r="A81" s="1"/>
  <c r="A82" s="1"/>
  <c r="A83" s="1"/>
  <c r="A84" s="1"/>
  <c r="A86" s="1"/>
  <c r="A87" s="1"/>
  <c r="A88" s="1"/>
  <c r="A90" s="1"/>
  <c r="A91" s="1"/>
  <c r="A92" s="1"/>
  <c r="A93" s="1"/>
  <c r="A94" s="1"/>
  <c r="A96" s="1"/>
  <c r="A97" s="1"/>
  <c r="A98" s="1"/>
  <c r="A99" s="1"/>
  <c r="A100" s="1"/>
  <c r="A101" s="1"/>
  <c r="A102" s="1"/>
  <c r="A104" s="1"/>
  <c r="A105" s="1"/>
  <c r="A106" s="1"/>
  <c r="A108" s="1"/>
  <c r="A109" s="1"/>
  <c r="A111" s="1"/>
  <c r="A112" s="1"/>
  <c r="A114" s="1"/>
  <c r="A115" s="1"/>
  <c r="A116" s="1"/>
  <c r="A117" s="1"/>
  <c r="A118" s="1"/>
  <c r="A119" s="1"/>
  <c r="A120" s="1"/>
  <c r="A121" s="1"/>
  <c r="A122" s="1"/>
  <c r="A123" s="1"/>
  <c r="A124" s="1"/>
  <c r="A18" i="122"/>
  <c r="A21"/>
  <c r="I15" i="155"/>
  <c r="J7"/>
  <c r="G7" i="154"/>
  <c r="G15"/>
  <c r="D20"/>
  <c r="J7" i="151"/>
  <c r="M18" i="31"/>
  <c r="M36"/>
  <c r="K24" i="15"/>
  <c r="K22"/>
  <c r="K20"/>
  <c r="K18"/>
  <c r="K16"/>
  <c r="K14"/>
  <c r="K12"/>
  <c r="K10"/>
  <c r="Q10" i="152"/>
  <c r="Q21"/>
  <c r="Q22"/>
  <c r="Q23"/>
  <c r="Q25"/>
  <c r="Q8"/>
  <c r="Q9"/>
  <c r="Q12"/>
  <c r="Q14"/>
  <c r="Q15"/>
  <c r="Q16"/>
  <c r="Q17"/>
  <c r="Q24"/>
  <c r="Q7" i="146"/>
  <c r="M7"/>
  <c r="I7"/>
  <c r="Q9"/>
  <c r="M9"/>
  <c r="I9"/>
  <c r="Q11"/>
  <c r="M11"/>
  <c r="I11"/>
  <c r="Q13"/>
  <c r="M13"/>
  <c r="I13"/>
  <c r="Q15"/>
  <c r="M15"/>
  <c r="I15"/>
  <c r="Q17"/>
  <c r="M17"/>
  <c r="I17"/>
  <c r="Q19"/>
  <c r="M19"/>
  <c r="I19"/>
  <c r="Q21"/>
  <c r="M21"/>
  <c r="I21"/>
  <c r="Q23"/>
  <c r="M23"/>
  <c r="I23"/>
  <c r="Q25"/>
  <c r="M25"/>
  <c r="I25"/>
  <c r="Q27"/>
  <c r="M27"/>
  <c r="I27"/>
  <c r="Q29"/>
  <c r="M29"/>
  <c r="I29"/>
  <c r="C50" i="153"/>
  <c r="E8" i="152"/>
  <c r="E23"/>
  <c r="I15" i="151"/>
  <c r="J15" s="1"/>
  <c r="E10" i="152"/>
  <c r="C9"/>
  <c r="C8"/>
  <c r="F19" i="153"/>
  <c r="F17"/>
  <c r="F15"/>
  <c r="F27"/>
  <c r="F25"/>
  <c r="F23"/>
  <c r="E16" i="152"/>
  <c r="G46" i="154"/>
  <c r="G45"/>
  <c r="G44"/>
  <c r="G43"/>
  <c r="G42"/>
  <c r="G41"/>
  <c r="I28" i="151"/>
  <c r="E28" i="156"/>
  <c r="F32" i="158"/>
  <c r="B14" i="156"/>
  <c r="G14"/>
  <c r="C14"/>
  <c r="M13"/>
  <c r="M17"/>
  <c r="O19"/>
  <c r="F21"/>
  <c r="H8"/>
  <c r="H29" s="1"/>
  <c r="H16"/>
  <c r="I23"/>
  <c r="J16"/>
  <c r="N16"/>
  <c r="I14"/>
  <c r="P8"/>
  <c r="E14"/>
  <c r="R8"/>
  <c r="O8" s="1"/>
  <c r="O13"/>
  <c r="B25"/>
  <c r="G25" s="1"/>
  <c r="C25"/>
  <c r="R12"/>
  <c r="Q12"/>
  <c r="R10"/>
  <c r="M10"/>
  <c r="R20"/>
  <c r="Q20"/>
  <c r="O24"/>
  <c r="M20"/>
  <c r="M18"/>
  <c r="R15"/>
  <c r="O15" s="1"/>
  <c r="R22"/>
  <c r="O22" s="1"/>
  <c r="O28"/>
  <c r="O18"/>
  <c r="Q15"/>
  <c r="O12"/>
  <c r="O10"/>
  <c r="O11"/>
  <c r="Q22"/>
  <c r="M9"/>
  <c r="M11"/>
  <c r="E10"/>
  <c r="B27"/>
  <c r="G27" s="1"/>
  <c r="I27"/>
  <c r="I20"/>
  <c r="E20"/>
  <c r="I26"/>
  <c r="K26"/>
  <c r="K28"/>
  <c r="E11"/>
  <c r="E26"/>
  <c r="D21"/>
  <c r="B21" s="1"/>
  <c r="B15"/>
  <c r="I15" s="1"/>
  <c r="F8"/>
  <c r="B8" s="1"/>
  <c r="D16"/>
  <c r="D29" s="1"/>
  <c r="B29" s="1"/>
  <c r="B17"/>
  <c r="I17" s="1"/>
  <c r="I19"/>
  <c r="E19"/>
  <c r="K25"/>
  <c r="E25"/>
  <c r="I25"/>
  <c r="I13"/>
  <c r="E13"/>
  <c r="K23"/>
  <c r="E23"/>
  <c r="B9"/>
  <c r="C9" s="1"/>
  <c r="B22"/>
  <c r="C22" s="1"/>
  <c r="M8"/>
  <c r="E17"/>
  <c r="K9"/>
  <c r="G22"/>
  <c r="F15" i="158"/>
  <c r="G30"/>
  <c r="E48"/>
  <c r="F47"/>
  <c r="G43" s="1"/>
  <c r="F11"/>
  <c r="F21"/>
  <c r="G13" s="1"/>
  <c r="G14"/>
  <c r="G18"/>
  <c r="G10"/>
  <c r="G22" s="1"/>
  <c r="I18" i="156"/>
  <c r="E18"/>
  <c r="C18"/>
  <c r="O14"/>
  <c r="M14"/>
  <c r="G12"/>
  <c r="G24"/>
  <c r="K12"/>
  <c r="C12"/>
  <c r="I12"/>
  <c r="E12"/>
  <c r="K24"/>
  <c r="C24"/>
  <c r="I24"/>
  <c r="E24"/>
  <c r="F29"/>
  <c r="J29"/>
  <c r="R16"/>
  <c r="M16"/>
  <c r="N29"/>
  <c r="I28"/>
  <c r="Q14"/>
  <c r="C15"/>
  <c r="G9" i="158"/>
  <c r="K15" i="156"/>
  <c r="O16"/>
  <c r="F23" i="158"/>
  <c r="G11" s="1"/>
  <c r="G23" s="1"/>
  <c r="G9" i="156"/>
  <c r="I9"/>
  <c r="C27"/>
  <c r="G19" i="136"/>
  <c r="J19"/>
  <c r="M19"/>
  <c r="T19"/>
  <c r="Z19"/>
  <c r="O30" i="6"/>
  <c r="C20" i="156"/>
  <c r="K18"/>
  <c r="L30" i="6"/>
  <c r="D11" i="1" s="1"/>
  <c r="Q11" i="152"/>
  <c r="Q19"/>
  <c r="Q20"/>
  <c r="G26" i="156"/>
  <c r="C26"/>
  <c r="K23" i="15"/>
  <c r="K19"/>
  <c r="K15"/>
  <c r="K11"/>
  <c r="D7" i="136"/>
  <c r="G14"/>
  <c r="M14"/>
  <c r="M27" s="1"/>
  <c r="Q7"/>
  <c r="T14"/>
  <c r="W14"/>
  <c r="Z14"/>
  <c r="AA7"/>
  <c r="AA14"/>
  <c r="C10" i="156"/>
  <c r="K14"/>
  <c r="K7" i="146"/>
  <c r="K9"/>
  <c r="K11"/>
  <c r="S11"/>
  <c r="K13"/>
  <c r="K15"/>
  <c r="K17"/>
  <c r="K19"/>
  <c r="S19" s="1"/>
  <c r="K21"/>
  <c r="K23"/>
  <c r="K25"/>
  <c r="K27"/>
  <c r="S27" s="1"/>
  <c r="K29"/>
  <c r="R9" i="152"/>
  <c r="F24" i="153"/>
  <c r="C13" i="156"/>
  <c r="G13"/>
  <c r="G20"/>
  <c r="G19"/>
  <c r="G28"/>
  <c r="M28"/>
  <c r="M27"/>
  <c r="M26"/>
  <c r="M25"/>
  <c r="M24"/>
  <c r="M23"/>
  <c r="O27"/>
  <c r="G40" i="154"/>
  <c r="D42"/>
  <c r="G19" i="158"/>
  <c r="G15"/>
  <c r="U28" i="37"/>
  <c r="I17" i="34"/>
  <c r="I7" i="27"/>
  <c r="C11" i="128"/>
  <c r="B10" i="25"/>
  <c r="H11" i="24"/>
  <c r="C11"/>
  <c r="E21"/>
  <c r="B11"/>
  <c r="D38" i="1" s="1"/>
  <c r="J14" i="23"/>
  <c r="I12"/>
  <c r="E12"/>
  <c r="C12"/>
  <c r="B12"/>
  <c r="Q16" i="156"/>
  <c r="G31" i="158"/>
  <c r="K17" i="156"/>
  <c r="C17"/>
  <c r="E15"/>
  <c r="M12"/>
  <c r="G7" i="151"/>
  <c r="G17" i="158"/>
  <c r="O8" i="146"/>
  <c r="K8"/>
  <c r="G8"/>
  <c r="O9"/>
  <c r="O12"/>
  <c r="K12"/>
  <c r="G12"/>
  <c r="O13"/>
  <c r="O16"/>
  <c r="K16"/>
  <c r="G16"/>
  <c r="O17"/>
  <c r="O20"/>
  <c r="K20"/>
  <c r="G20"/>
  <c r="O21"/>
  <c r="O24"/>
  <c r="K24"/>
  <c r="G24"/>
  <c r="O25"/>
  <c r="K28"/>
  <c r="G28"/>
  <c r="S28" s="1"/>
  <c r="O29"/>
  <c r="R8" i="152"/>
  <c r="R12"/>
  <c r="F16" i="153"/>
  <c r="F26"/>
  <c r="E13" i="152"/>
  <c r="G7" i="100"/>
  <c r="G9"/>
  <c r="G11"/>
  <c r="G13"/>
  <c r="G15"/>
  <c r="G17"/>
  <c r="G19"/>
  <c r="K21" i="15"/>
  <c r="K13"/>
  <c r="C23" i="156"/>
  <c r="G8" i="100"/>
  <c r="G10"/>
  <c r="G12"/>
  <c r="G14"/>
  <c r="G16"/>
  <c r="G10" i="77"/>
  <c r="Q11" i="62"/>
  <c r="I7" i="116"/>
  <c r="G7"/>
  <c r="G39" i="158"/>
  <c r="K22" i="156"/>
  <c r="E9"/>
  <c r="K27"/>
  <c r="Q10"/>
  <c r="M15"/>
  <c r="O20"/>
  <c r="K17" i="15"/>
  <c r="C8"/>
  <c r="C14"/>
  <c r="C12"/>
  <c r="C10"/>
  <c r="C25"/>
  <c r="C22"/>
  <c r="C20"/>
  <c r="C18"/>
  <c r="C16"/>
  <c r="E25"/>
  <c r="E22"/>
  <c r="E20"/>
  <c r="E18"/>
  <c r="E15"/>
  <c r="E13"/>
  <c r="E11"/>
  <c r="E9"/>
  <c r="E16"/>
  <c r="I24"/>
  <c r="I22"/>
  <c r="I20"/>
  <c r="I18"/>
  <c r="I16"/>
  <c r="I14"/>
  <c r="I12"/>
  <c r="I10"/>
  <c r="R16"/>
  <c r="R14"/>
  <c r="R12"/>
  <c r="R10"/>
  <c r="R8"/>
  <c r="D19" i="116"/>
  <c r="H14"/>
  <c r="D19" i="136"/>
  <c r="G7"/>
  <c r="G27" s="1"/>
  <c r="Q19"/>
  <c r="T7"/>
  <c r="T27" s="1"/>
  <c r="E30" i="6"/>
  <c r="D14" i="1" s="1"/>
  <c r="I30" i="6"/>
  <c r="M30"/>
  <c r="I19" i="116"/>
  <c r="I27" s="1"/>
  <c r="G19"/>
  <c r="AC22" i="136"/>
  <c r="AA19"/>
  <c r="AA27" s="1"/>
  <c r="P26" i="15"/>
  <c r="D7" i="116"/>
  <c r="D14" i="136"/>
  <c r="J14"/>
  <c r="J27" s="1"/>
  <c r="Q14"/>
  <c r="R22" i="6"/>
  <c r="P30"/>
  <c r="D30"/>
  <c r="D13" i="1" s="1"/>
  <c r="R17" i="6"/>
  <c r="O7" i="146"/>
  <c r="S7"/>
  <c r="M12"/>
  <c r="S12"/>
  <c r="Q14"/>
  <c r="M14"/>
  <c r="I14"/>
  <c r="S14"/>
  <c r="O15"/>
  <c r="S15"/>
  <c r="M20"/>
  <c r="S20"/>
  <c r="Q22"/>
  <c r="M22"/>
  <c r="I22"/>
  <c r="S22"/>
  <c r="O23"/>
  <c r="S23"/>
  <c r="F28" i="151"/>
  <c r="R14" i="152"/>
  <c r="K24"/>
  <c r="K22"/>
  <c r="K20"/>
  <c r="K18"/>
  <c r="K16"/>
  <c r="K14"/>
  <c r="K12"/>
  <c r="K10"/>
  <c r="I24"/>
  <c r="I22"/>
  <c r="I20"/>
  <c r="I18"/>
  <c r="I16"/>
  <c r="I14"/>
  <c r="I12"/>
  <c r="I10"/>
  <c r="I26" s="1"/>
  <c r="F18" i="153"/>
  <c r="F48"/>
  <c r="F46"/>
  <c r="F44"/>
  <c r="F42"/>
  <c r="F40"/>
  <c r="D45" i="154"/>
  <c r="D43"/>
  <c r="Q19" i="15"/>
  <c r="Q11"/>
  <c r="Q10"/>
  <c r="Q13"/>
  <c r="Q15"/>
  <c r="Q17"/>
  <c r="Q21"/>
  <c r="Q23"/>
  <c r="Q25"/>
  <c r="Q20"/>
  <c r="Q9"/>
  <c r="Q22"/>
  <c r="Q24"/>
  <c r="Q8"/>
  <c r="R30" i="6"/>
  <c r="Q14" i="15"/>
  <c r="Q18"/>
  <c r="Q27" i="136"/>
  <c r="D27"/>
  <c r="Q12" i="15"/>
  <c r="Q16"/>
  <c r="Q26"/>
  <c r="G21" i="59" l="1"/>
  <c r="J20" i="141"/>
  <c r="L20"/>
  <c r="F11" i="24"/>
  <c r="G20" i="114"/>
  <c r="G32" i="45"/>
  <c r="E10" i="77"/>
  <c r="I8" i="156"/>
  <c r="C8"/>
  <c r="K8"/>
  <c r="G8"/>
  <c r="E8"/>
  <c r="G21"/>
  <c r="K21"/>
  <c r="I21"/>
  <c r="C21"/>
  <c r="E21"/>
  <c r="O14" i="152"/>
  <c r="O12"/>
  <c r="O16"/>
  <c r="O10"/>
  <c r="O18"/>
  <c r="O20"/>
  <c r="O22"/>
  <c r="O25"/>
  <c r="O15"/>
  <c r="O24"/>
  <c r="O13"/>
  <c r="O19"/>
  <c r="O21"/>
  <c r="O23"/>
  <c r="O9"/>
  <c r="O11"/>
  <c r="O8"/>
  <c r="G7" i="153"/>
  <c r="E50"/>
  <c r="G50" s="1"/>
  <c r="F7"/>
  <c r="F28"/>
  <c r="G28"/>
  <c r="M21" i="156"/>
  <c r="Q21"/>
  <c r="I29"/>
  <c r="E29"/>
  <c r="G29"/>
  <c r="K29"/>
  <c r="G20" i="153"/>
  <c r="F20"/>
  <c r="G28" i="151"/>
  <c r="J12" i="23"/>
  <c r="D37" i="1" s="1"/>
  <c r="E11" i="128"/>
  <c r="G46" i="158"/>
  <c r="Q8" i="156"/>
  <c r="F26" i="15"/>
  <c r="R8" i="6"/>
  <c r="H20" i="151"/>
  <c r="F26" i="152"/>
  <c r="F7" i="28"/>
  <c r="E8" i="31"/>
  <c r="G8"/>
  <c r="I8"/>
  <c r="E7" i="34"/>
  <c r="G7"/>
  <c r="D21" i="59"/>
  <c r="I26" i="15"/>
  <c r="E22" i="156"/>
  <c r="G15"/>
  <c r="B16"/>
  <c r="G21" i="158"/>
  <c r="G35"/>
  <c r="G47" s="1"/>
  <c r="G17" i="156"/>
  <c r="M22"/>
  <c r="P29"/>
  <c r="F50" i="153"/>
  <c r="L9" i="141"/>
  <c r="M20"/>
  <c r="L28" i="37"/>
  <c r="V28"/>
  <c r="B28"/>
  <c r="E26" i="24"/>
  <c r="E11" s="1"/>
  <c r="D39" i="1" s="1"/>
  <c r="F12" i="23"/>
  <c r="R24" i="15"/>
  <c r="R20"/>
  <c r="R17"/>
  <c r="R9"/>
  <c r="J9" i="116"/>
  <c r="J13"/>
  <c r="J18"/>
  <c r="J23"/>
  <c r="H19"/>
  <c r="G14"/>
  <c r="G27" s="1"/>
  <c r="C27" i="136"/>
  <c r="I27"/>
  <c r="L27"/>
  <c r="P27"/>
  <c r="V27"/>
  <c r="AC12"/>
  <c r="AC7" s="1"/>
  <c r="AC18"/>
  <c r="AC14" s="1"/>
  <c r="AC21"/>
  <c r="AC19" s="1"/>
  <c r="AC27" s="1"/>
  <c r="AC23"/>
  <c r="Q30" i="6"/>
  <c r="M8" i="146"/>
  <c r="S8" s="1"/>
  <c r="M16"/>
  <c r="S16" s="1"/>
  <c r="M24"/>
  <c r="S24" s="1"/>
  <c r="Q30"/>
  <c r="M30"/>
  <c r="I30"/>
  <c r="F46" i="9"/>
  <c r="D20" i="151"/>
  <c r="D28" s="1"/>
  <c r="C28"/>
  <c r="E22" i="152"/>
  <c r="E20"/>
  <c r="E17"/>
  <c r="Q18"/>
  <c r="Q26" s="1"/>
  <c r="G36" i="153"/>
  <c r="G21"/>
  <c r="F49"/>
  <c r="F45"/>
  <c r="F41"/>
  <c r="D44" i="154"/>
  <c r="D48" s="1"/>
  <c r="D15"/>
  <c r="G20"/>
  <c r="J9" i="155"/>
  <c r="J15" s="1"/>
  <c r="D48" i="158"/>
  <c r="F48" s="1"/>
  <c r="F40"/>
  <c r="D9" i="40"/>
  <c r="H35" i="28"/>
  <c r="J8" i="31"/>
  <c r="G17" i="15"/>
  <c r="G24"/>
  <c r="G12"/>
  <c r="G23"/>
  <c r="G22"/>
  <c r="G20"/>
  <c r="G11"/>
  <c r="G10"/>
  <c r="G13"/>
  <c r="G16"/>
  <c r="G9"/>
  <c r="G15"/>
  <c r="G14"/>
  <c r="G21"/>
  <c r="G8"/>
  <c r="G19"/>
  <c r="G18"/>
  <c r="G14" i="152"/>
  <c r="G16"/>
  <c r="G24"/>
  <c r="G17"/>
  <c r="G19"/>
  <c r="G21"/>
  <c r="G25"/>
  <c r="G9"/>
  <c r="G13"/>
  <c r="G12"/>
  <c r="G15"/>
  <c r="G22"/>
  <c r="G10"/>
  <c r="G18"/>
  <c r="G20"/>
  <c r="G23"/>
  <c r="G8"/>
  <c r="G26" s="1"/>
  <c r="G11"/>
  <c r="K8" i="15"/>
  <c r="K25"/>
  <c r="E23"/>
  <c r="E10"/>
  <c r="E14"/>
  <c r="E19"/>
  <c r="E24"/>
  <c r="R13"/>
  <c r="K8" i="152"/>
  <c r="K11"/>
  <c r="K15"/>
  <c r="K19"/>
  <c r="K23"/>
  <c r="C20"/>
  <c r="C11"/>
  <c r="C12"/>
  <c r="C13"/>
  <c r="C17"/>
  <c r="C18"/>
  <c r="C21"/>
  <c r="C22"/>
  <c r="C23"/>
  <c r="K11" i="156"/>
  <c r="G11"/>
  <c r="I11"/>
  <c r="O25"/>
  <c r="Q25"/>
  <c r="G25" i="15"/>
  <c r="F27" i="116"/>
  <c r="W7" i="136"/>
  <c r="I10" i="60"/>
  <c r="R16" i="152"/>
  <c r="R11"/>
  <c r="G38" i="153"/>
  <c r="G34"/>
  <c r="G30"/>
  <c r="G12"/>
  <c r="G8"/>
  <c r="G15" i="155"/>
  <c r="O21" i="156"/>
  <c r="L12" i="23"/>
  <c r="G30" i="6"/>
  <c r="D9" i="1" s="1"/>
  <c r="H30" i="6"/>
  <c r="D8" i="1" s="1"/>
  <c r="E17" i="28"/>
  <c r="E35" s="1"/>
  <c r="F17"/>
  <c r="F35" s="1"/>
  <c r="G17"/>
  <c r="G35" s="1"/>
  <c r="B37" i="65"/>
  <c r="D37"/>
  <c r="C24" i="15"/>
  <c r="C19"/>
  <c r="C23"/>
  <c r="C11"/>
  <c r="C15"/>
  <c r="R22"/>
  <c r="O17" i="152"/>
  <c r="O26" s="1"/>
  <c r="R17"/>
  <c r="E18"/>
  <c r="E9"/>
  <c r="E14"/>
  <c r="E15"/>
  <c r="E19"/>
  <c r="E24"/>
  <c r="E25"/>
  <c r="K10" i="156"/>
  <c r="I10"/>
  <c r="I22"/>
  <c r="E27"/>
  <c r="M28" i="37"/>
  <c r="K9" i="15"/>
  <c r="E21"/>
  <c r="E12"/>
  <c r="L26"/>
  <c r="N26"/>
  <c r="O22" s="1"/>
  <c r="B27" i="116"/>
  <c r="W19" i="136"/>
  <c r="W27" s="1"/>
  <c r="Z7"/>
  <c r="Z27" s="1"/>
  <c r="AB19"/>
  <c r="AB27" s="1"/>
  <c r="K30" i="6"/>
  <c r="G12" i="23"/>
  <c r="D12" i="26"/>
  <c r="D25"/>
  <c r="H10" i="60"/>
  <c r="G9" i="146"/>
  <c r="S9" s="1"/>
  <c r="S10"/>
  <c r="G13"/>
  <c r="S13" s="1"/>
  <c r="G17"/>
  <c r="S17" s="1"/>
  <c r="S18"/>
  <c r="G21"/>
  <c r="S21" s="1"/>
  <c r="G25"/>
  <c r="S25" s="1"/>
  <c r="S26"/>
  <c r="G29"/>
  <c r="S29" s="1"/>
  <c r="S30"/>
  <c r="R24" i="152"/>
  <c r="L26"/>
  <c r="K25"/>
  <c r="K17"/>
  <c r="K9"/>
  <c r="G48" i="154"/>
  <c r="L29" i="156"/>
  <c r="E26" i="9"/>
  <c r="E18" i="31"/>
  <c r="E36" s="1"/>
  <c r="F18"/>
  <c r="F36" s="1"/>
  <c r="G18"/>
  <c r="G36" s="1"/>
  <c r="H18"/>
  <c r="H36" s="1"/>
  <c r="I18"/>
  <c r="I36" s="1"/>
  <c r="J18"/>
  <c r="J36" s="1"/>
  <c r="K18"/>
  <c r="K36" s="1"/>
  <c r="L18"/>
  <c r="L36" s="1"/>
  <c r="E17" i="34"/>
  <c r="E35" s="1"/>
  <c r="F17"/>
  <c r="F35" s="1"/>
  <c r="G17"/>
  <c r="G35" s="1"/>
  <c r="H17"/>
  <c r="H35" s="1"/>
  <c r="C37" i="65"/>
  <c r="E37"/>
  <c r="G40" i="158" l="1"/>
  <c r="G44"/>
  <c r="G32"/>
  <c r="G36"/>
  <c r="E16" i="156"/>
  <c r="G16"/>
  <c r="K16"/>
  <c r="C16"/>
  <c r="I16"/>
  <c r="J20" i="151"/>
  <c r="J28" s="1"/>
  <c r="H28"/>
  <c r="C26" i="15"/>
  <c r="H27" i="116"/>
  <c r="J19"/>
  <c r="J27" s="1"/>
  <c r="R29" i="156"/>
  <c r="M29" s="1"/>
  <c r="G26" i="9"/>
  <c r="D19" i="1" s="1"/>
  <c r="D18"/>
  <c r="D41" s="1"/>
  <c r="H19" i="9"/>
  <c r="H23"/>
  <c r="H14"/>
  <c r="H7"/>
  <c r="H11"/>
  <c r="H22"/>
  <c r="H15"/>
  <c r="H6"/>
  <c r="H10"/>
  <c r="H21"/>
  <c r="H25"/>
  <c r="H16"/>
  <c r="H9"/>
  <c r="H20"/>
  <c r="H24"/>
  <c r="H17"/>
  <c r="H8"/>
  <c r="H12"/>
  <c r="M13" i="152"/>
  <c r="M19"/>
  <c r="M21"/>
  <c r="M25"/>
  <c r="M9"/>
  <c r="M12"/>
  <c r="M15"/>
  <c r="M24"/>
  <c r="M17"/>
  <c r="M22"/>
  <c r="M10"/>
  <c r="M18"/>
  <c r="M20"/>
  <c r="M23"/>
  <c r="M8"/>
  <c r="M11"/>
  <c r="M14"/>
  <c r="M16"/>
  <c r="M11" i="15"/>
  <c r="M15"/>
  <c r="M19"/>
  <c r="M24"/>
  <c r="M13"/>
  <c r="M21"/>
  <c r="M25"/>
  <c r="M20"/>
  <c r="M16"/>
  <c r="M12"/>
  <c r="M8"/>
  <c r="M9"/>
  <c r="M17"/>
  <c r="M23"/>
  <c r="M18"/>
  <c r="M14"/>
  <c r="M10"/>
  <c r="R26" i="152"/>
  <c r="S11" s="1"/>
  <c r="R26" i="15"/>
  <c r="S13" s="1"/>
  <c r="D10" i="26"/>
  <c r="E26" i="152"/>
  <c r="S17"/>
  <c r="M22" i="15"/>
  <c r="C26" i="152"/>
  <c r="K26"/>
  <c r="E26" i="15"/>
  <c r="G26"/>
  <c r="O18"/>
  <c r="O8"/>
  <c r="O15"/>
  <c r="O24"/>
  <c r="O17"/>
  <c r="O23"/>
  <c r="O19"/>
  <c r="O14"/>
  <c r="O11"/>
  <c r="O20"/>
  <c r="O25"/>
  <c r="O21"/>
  <c r="O16"/>
  <c r="O12"/>
  <c r="O9"/>
  <c r="S22"/>
  <c r="O10"/>
  <c r="O13"/>
  <c r="K26"/>
  <c r="G48" i="158" l="1"/>
  <c r="S16" i="152"/>
  <c r="S24"/>
  <c r="O26" i="15"/>
  <c r="M26"/>
  <c r="M26" i="152"/>
  <c r="H5" i="9"/>
  <c r="S16" i="15"/>
  <c r="S10"/>
  <c r="S11"/>
  <c r="S15"/>
  <c r="S18"/>
  <c r="S19"/>
  <c r="S17"/>
  <c r="S21"/>
  <c r="S20"/>
  <c r="S12"/>
  <c r="S14"/>
  <c r="S9"/>
  <c r="S23"/>
  <c r="S25"/>
  <c r="S24"/>
  <c r="S8"/>
  <c r="S23" i="152"/>
  <c r="S12"/>
  <c r="S20"/>
  <c r="S9"/>
  <c r="S21"/>
  <c r="S18"/>
  <c r="S14"/>
  <c r="S10"/>
  <c r="S13"/>
  <c r="S19"/>
  <c r="S8"/>
  <c r="S15"/>
  <c r="S25"/>
  <c r="S22"/>
  <c r="Q29" i="156"/>
  <c r="D31" i="1" s="1"/>
  <c r="C29" i="156"/>
  <c r="D30" i="1" s="1"/>
  <c r="O29" i="156"/>
  <c r="H13" i="9"/>
  <c r="H18"/>
  <c r="S26" i="15" l="1"/>
  <c r="H26" i="9"/>
  <c r="S26" i="152"/>
</calcChain>
</file>

<file path=xl/sharedStrings.xml><?xml version="1.0" encoding="utf-8"?>
<sst xmlns="http://schemas.openxmlformats.org/spreadsheetml/2006/main" count="6155" uniqueCount="1632">
  <si>
    <t>CENTRES OF OPEN UNIVERSITIES</t>
  </si>
  <si>
    <t>5.3(a)</t>
  </si>
  <si>
    <t>Source : Census of India</t>
  </si>
  <si>
    <t>(Number in thousand)</t>
  </si>
  <si>
    <t>Note : TT = Tetanus Toxoid</t>
  </si>
  <si>
    <t xml:space="preserve">Name of Municipality </t>
  </si>
  <si>
    <t>Superintendent</t>
  </si>
  <si>
    <t>3.3(a)</t>
  </si>
  <si>
    <t>Bureau  of  Applied  Economics  &amp;  Statistics</t>
  </si>
  <si>
    <t>Government  of  West Bengal</t>
  </si>
  <si>
    <t>(a) Medical (Allopathic, Dental, Homoeopathic, Ayurvedic) Colleges</t>
  </si>
  <si>
    <t>Sadar Sub-Division</t>
  </si>
  <si>
    <t>Banarhat Tea garden</t>
  </si>
  <si>
    <t xml:space="preserve">Nagrakata  </t>
  </si>
  <si>
    <t>Gayerkata</t>
  </si>
  <si>
    <t>Mal Sub-Division</t>
  </si>
  <si>
    <t>Uttar Latabari</t>
  </si>
  <si>
    <t>Paschim Jitpur</t>
  </si>
  <si>
    <t>Chechakhata</t>
  </si>
  <si>
    <t>Bholardabri</t>
  </si>
  <si>
    <t>Sovaganj</t>
  </si>
  <si>
    <t>Uttar Kamakhyaguri</t>
  </si>
  <si>
    <t>C.T.</t>
  </si>
  <si>
    <t>M</t>
  </si>
  <si>
    <t>Deputy Labour Commissioner, Jalpaiguri</t>
  </si>
  <si>
    <t>Supdt. Engineer, W.B.S.E.B., Jalpaiguri Dist. Circle</t>
  </si>
  <si>
    <t>(f) Institute of Radiology / Pathology / Bio-Chemistry / Laboratory Technology / Radiography / Physiotherapy / Radiotherapy / ECG</t>
  </si>
  <si>
    <t>587 (P)</t>
  </si>
  <si>
    <t>33886 (P)</t>
  </si>
  <si>
    <t>5.3(b)</t>
  </si>
  <si>
    <t>5.3(c)</t>
  </si>
  <si>
    <t>5.3(d)</t>
  </si>
  <si>
    <t>5.3(e)</t>
  </si>
  <si>
    <t>Area &amp; Production of Flowers</t>
  </si>
  <si>
    <t>' 000 MT</t>
  </si>
  <si>
    <t>Crore Cut Flower</t>
  </si>
  <si>
    <t>Procurement and Supply, Govt. of W.B.</t>
  </si>
  <si>
    <t>Directorate of Rationing, Govt. of W.B.</t>
  </si>
  <si>
    <t>Name of
 Block</t>
  </si>
  <si>
    <t>Area, Production &amp; Employment in Tea Industries</t>
  </si>
  <si>
    <t>Progress of L.I.C.</t>
  </si>
  <si>
    <t>Climate :</t>
  </si>
  <si>
    <t>Out-
growth
(2011)</t>
  </si>
  <si>
    <t>Dabgram</t>
  </si>
  <si>
    <t>Telipara Tea Garden</t>
  </si>
  <si>
    <t>Kharia</t>
  </si>
  <si>
    <t xml:space="preserve">            P.C. = Percentage to respective total population</t>
  </si>
  <si>
    <t xml:space="preserve">            PC to TW = Percentage to respective total workers</t>
  </si>
  <si>
    <t>Agriculture and Irrigation :</t>
  </si>
  <si>
    <t>Industry :</t>
  </si>
  <si>
    <t>Employment in :</t>
  </si>
  <si>
    <t>Employment Situation :</t>
  </si>
  <si>
    <t>Transport &amp; Communication :</t>
  </si>
  <si>
    <t xml:space="preserve">During the year </t>
  </si>
  <si>
    <t xml:space="preserve">Upto the year </t>
  </si>
  <si>
    <t>Directorate of Micro &amp; Small Scale Enterprises, Govt. of W.B.</t>
  </si>
  <si>
    <t xml:space="preserve">
2.</t>
  </si>
  <si>
    <t>Year / Month</t>
  </si>
  <si>
    <t>Chief Inspector of Factories, Govt. of  W.B.</t>
  </si>
  <si>
    <t>B.A.E.&amp; S., Govt. of  W.B.</t>
  </si>
  <si>
    <t>Source : District Census Handbook, 1961</t>
  </si>
  <si>
    <t>Source : Agricultural Meteorologist, Directorate of Agriculture, Govt. of W. B.</t>
  </si>
  <si>
    <t>No. of female per 100 males</t>
  </si>
  <si>
    <t>P.C. of rural population to total population</t>
  </si>
  <si>
    <t>Other Departments of  Govt. of West Bengal including State Govt. Undertaking</t>
  </si>
  <si>
    <t>Govt. of India  including Central  Govt. Undertaking</t>
  </si>
  <si>
    <t>Establishments with hired workers</t>
  </si>
  <si>
    <t>Own Account Establishments</t>
  </si>
  <si>
    <t>5.5(a)</t>
  </si>
  <si>
    <t>8.2(a)</t>
  </si>
  <si>
    <t>9.2(a)</t>
  </si>
  <si>
    <t>9.2(b)</t>
  </si>
  <si>
    <t>11.1(a)</t>
  </si>
  <si>
    <t>Municipal 
Corporation</t>
  </si>
  <si>
    <t>Notified 
Area</t>
  </si>
  <si>
    <t>Km.</t>
  </si>
  <si>
    <t>Progress in Tourism</t>
  </si>
  <si>
    <t>Director</t>
  </si>
  <si>
    <t>Centre : Jalpaiguri</t>
  </si>
  <si>
    <t>Sl. 
No.</t>
  </si>
  <si>
    <t>Sources : 1)</t>
  </si>
  <si>
    <t>2)</t>
  </si>
  <si>
    <t>3)</t>
  </si>
  <si>
    <t>4)</t>
  </si>
  <si>
    <t xml:space="preserve">          DPT = Diphtheria Pertussis Tetanus</t>
  </si>
  <si>
    <t>4.1(a)</t>
  </si>
  <si>
    <t>4.1(c)</t>
  </si>
  <si>
    <t>4.2(a)</t>
  </si>
  <si>
    <t>4.2(b)</t>
  </si>
  <si>
    <t>4.2(c)</t>
  </si>
  <si>
    <t>4.3(a)</t>
  </si>
  <si>
    <t>4.3(b)</t>
  </si>
  <si>
    <t>4.3(c)</t>
  </si>
  <si>
    <t>4.1(b)</t>
  </si>
  <si>
    <t>Base : Triennium ending crop year 1981-82 = 100</t>
  </si>
  <si>
    <t>Cereals</t>
  </si>
  <si>
    <t>Productivity</t>
  </si>
  <si>
    <t xml:space="preserve">Description </t>
  </si>
  <si>
    <t>Year</t>
  </si>
  <si>
    <t>Unit</t>
  </si>
  <si>
    <t xml:space="preserve"> Particulars</t>
  </si>
  <si>
    <t>Number</t>
  </si>
  <si>
    <t>Police Station</t>
  </si>
  <si>
    <t>Inhabited Villages</t>
  </si>
  <si>
    <t>Municipality</t>
  </si>
  <si>
    <t>1(P)</t>
  </si>
  <si>
    <t>Gram Panchayat</t>
  </si>
  <si>
    <t>Gram Sansad</t>
  </si>
  <si>
    <t>Area and Population :</t>
  </si>
  <si>
    <t xml:space="preserve">Area </t>
  </si>
  <si>
    <t>Population</t>
  </si>
  <si>
    <t>"</t>
  </si>
  <si>
    <t xml:space="preserve">                    Female</t>
  </si>
  <si>
    <t xml:space="preserve">                    Rural</t>
  </si>
  <si>
    <t xml:space="preserve">                    Urban</t>
  </si>
  <si>
    <t>Temperature : Maximum</t>
  </si>
  <si>
    <t>Degree Celsius</t>
  </si>
  <si>
    <t>..</t>
  </si>
  <si>
    <t>Workers :</t>
  </si>
  <si>
    <t>Non-workers</t>
  </si>
  <si>
    <t xml:space="preserve">Manufacture of  wearing apparel </t>
  </si>
  <si>
    <t>Manufacture of coke and refined petroleum products</t>
  </si>
  <si>
    <t>Printing and reproduction of recorded media</t>
  </si>
  <si>
    <t>Manufacture of machinery and equipment n. e. c.*</t>
  </si>
  <si>
    <t>*n.e.c. : not elsewhere classified</t>
  </si>
  <si>
    <t xml:space="preserve">Registered Factories
( Registered under Factory Act )
(As on 31st December)
</t>
  </si>
  <si>
    <t>31.10.2010</t>
  </si>
  <si>
    <t>16.12.2013</t>
  </si>
  <si>
    <t>As on</t>
  </si>
  <si>
    <t>labourers (2011)</t>
  </si>
  <si>
    <t>Cropped area</t>
  </si>
  <si>
    <t>Base : 2001=100</t>
  </si>
  <si>
    <t>Rapeseed &amp; Mustard</t>
  </si>
  <si>
    <t>All crops combined</t>
  </si>
  <si>
    <t>Area, Production &amp; Employment in  Tea Industry in the district of Jalpaiguri</t>
  </si>
  <si>
    <t>Vested waste land</t>
  </si>
  <si>
    <t>Warehouses</t>
  </si>
  <si>
    <t>Cold Storages</t>
  </si>
  <si>
    <t>Egg (Number in thousand)</t>
  </si>
  <si>
    <t>Bulls and Bullocks</t>
  </si>
  <si>
    <t>Total Cattle</t>
  </si>
  <si>
    <t>Total Buffaloes</t>
  </si>
  <si>
    <t>Sheep</t>
  </si>
  <si>
    <t>Other Live-stock</t>
  </si>
  <si>
    <t>Total Poultry</t>
  </si>
  <si>
    <t>Total Live-stock</t>
  </si>
  <si>
    <t>Source : Directorate of Agriculture, Govt. of W.B.</t>
  </si>
  <si>
    <t xml:space="preserve">Note : </t>
  </si>
  <si>
    <t>Consumption of Electricity by different sectors in the district of Jalpaiguri</t>
  </si>
  <si>
    <t>39.35*</t>
  </si>
  <si>
    <t>Manufacture of rubber and plastic products</t>
  </si>
  <si>
    <t>Manufacture of motor vehicles, trailers and semi-trailers</t>
  </si>
  <si>
    <t>Source : B.A.E. &amp; S., Govt. of W.B.</t>
  </si>
  <si>
    <t>Source : Dy. Director of Sericulture, Jalpaiguri</t>
  </si>
  <si>
    <t>Industrial Supervisory</t>
  </si>
  <si>
    <t>1060600*</t>
  </si>
  <si>
    <t>* Increased due to Single Premium</t>
  </si>
  <si>
    <t>Supdt. Engineer, W.B.S.E.D.C.L., Jalpaiguri (D) Circle</t>
  </si>
  <si>
    <t>NIC 2008
 Code</t>
  </si>
  <si>
    <t>NIC 2008 Code</t>
  </si>
  <si>
    <t>Tasar (Thousand kahan)</t>
  </si>
  <si>
    <t>Eri 
(Thousand
kahan)</t>
  </si>
  <si>
    <t>Muga 
(Thousand 
kahan)</t>
  </si>
  <si>
    <t>Skilled &amp; Semi-skilled</t>
  </si>
  <si>
    <t xml:space="preserve">Rice(Common) </t>
  </si>
  <si>
    <t>Potato(Jyoti)</t>
  </si>
  <si>
    <t>10 Kg.</t>
  </si>
  <si>
    <t>Goat Alive</t>
  </si>
  <si>
    <t>Jute (T.D.-5)</t>
  </si>
  <si>
    <t xml:space="preserve">Gur                     </t>
  </si>
  <si>
    <t>Zilla Parishad, Jalpaiguri</t>
  </si>
  <si>
    <t>Block Development Officers, Jalpaiguri</t>
  </si>
  <si>
    <t>All Panchayat Samity, Jalpaiguri</t>
  </si>
  <si>
    <t>All Gram Panchayat, Jalpaiguri</t>
  </si>
  <si>
    <t>1270.00*</t>
  </si>
  <si>
    <t>Source : Employment Exchanges, Jalpaiguri, Alipurduar &amp; Malbazar</t>
  </si>
  <si>
    <t>R.T.A., Jalpaiguri</t>
  </si>
  <si>
    <t>No. of
 Tourists
 carried</t>
  </si>
  <si>
    <t>TABLE 13.1 (Concld.)</t>
  </si>
  <si>
    <t>District Magistrate, Jalpaiguri</t>
  </si>
  <si>
    <t>Agricultural Income Tax</t>
  </si>
  <si>
    <t>30.11.2012</t>
  </si>
  <si>
    <t>Maximum and Minimum Temperature by month</t>
  </si>
  <si>
    <t>Mean Maximum and Mean Minimum Temperature by month</t>
  </si>
  <si>
    <t>Administrative Units</t>
  </si>
  <si>
    <t>Number of Seats in Municipal Corporations, Municipalities and Panchayats</t>
  </si>
  <si>
    <t>Source of Irrigation and Area Irrigated by different sources in the Blocks</t>
  </si>
  <si>
    <t>Note : Area in Hectare, Production in Thousand MT, Yield rate in Kg / hect</t>
  </si>
  <si>
    <t>* In Thousand bales of 180 kgs. each</t>
  </si>
  <si>
    <t>Net area 
available for 
pisciculture
(Hect.)</t>
  </si>
  <si>
    <t>Net area under 
effective 
pisciculture
(Hect.)</t>
  </si>
  <si>
    <t>Approx.
 annual
 production
(Qtl.)</t>
  </si>
  <si>
    <t>Distance of the nearest Rly. Stn. from the Block H.Q. (K.M)</t>
  </si>
  <si>
    <t>Assistance to Old-aged Persons, Widows and Handicapped</t>
  </si>
  <si>
    <t>Progress of Statutory and Modified Ration Shops</t>
  </si>
  <si>
    <t>Post &amp; Telegraph Offices</t>
  </si>
  <si>
    <t>Strength of Police Force by category</t>
  </si>
  <si>
    <t>Warehousing and Cold Storage Facilities</t>
  </si>
  <si>
    <t>Distribution of Population over different categories of workers and non-workers</t>
  </si>
  <si>
    <t>Index Numbers of Agricultural Area, Production and Productivity (Base:1981-82 = 100)</t>
  </si>
  <si>
    <t xml:space="preserve">Length of Roads maintained by Municipalities </t>
  </si>
  <si>
    <t>Area, Production and Yield rates of Major Crops in the Blocks</t>
  </si>
  <si>
    <t>No. of fertilizer depots</t>
  </si>
  <si>
    <t>No. of seed stores</t>
  </si>
  <si>
    <t>No. of fair price shops</t>
  </si>
  <si>
    <t>No. of gram panchayat offices with telephone facilities</t>
  </si>
  <si>
    <t>Base : 2006-07 = 100</t>
  </si>
  <si>
    <t>No. of Females</t>
  </si>
  <si>
    <t>Centre : Darjeeling</t>
  </si>
  <si>
    <t>1984(E)</t>
  </si>
  <si>
    <t>D.L.&amp; L.R.O., Jalpaiguri</t>
  </si>
  <si>
    <t>Ind.=Industry</t>
  </si>
  <si>
    <t>Fixed Capital 
(Rs. in Lakh)</t>
  </si>
  <si>
    <t>Invested Capital 
(Rs. in Lakh)</t>
  </si>
  <si>
    <t>Mandays employed 
(in thousand)</t>
  </si>
  <si>
    <t>Emoluments 
(Rs. in Lakh)</t>
  </si>
  <si>
    <t>Values of Input 
(Rs. in Lakh)</t>
  </si>
  <si>
    <t>Values of Output 
(Rs. in Lakh)</t>
  </si>
  <si>
    <t>Net value added 
(Rs. in Lakh)</t>
  </si>
  <si>
    <t>Net 
income 
(Rs. in Lakh)</t>
  </si>
  <si>
    <t>All Industry</t>
  </si>
  <si>
    <t>Tractor &amp; Trailer</t>
  </si>
  <si>
    <t>Air Force Hospital, Kalchini</t>
  </si>
  <si>
    <t>Police Hospital, Jalpaiguri</t>
  </si>
  <si>
    <t>Super / Director of the respective</t>
  </si>
  <si>
    <t xml:space="preserve"> Source : Asstt. Director of Agricultural Marketing (Admin.) Office, Jalpaiguri</t>
  </si>
  <si>
    <t xml:space="preserve">Directorate of District Distribution, </t>
  </si>
  <si>
    <t>Miscella-neous</t>
  </si>
  <si>
    <t>Nitrogen (N)</t>
  </si>
  <si>
    <t>Phosphate (P)</t>
  </si>
  <si>
    <t>Potash (K)</t>
  </si>
  <si>
    <t>Electricity :</t>
  </si>
  <si>
    <t>Co-operative Societies :</t>
  </si>
  <si>
    <t>Societies</t>
  </si>
  <si>
    <t>Sitting Capacity 
(Number)</t>
  </si>
  <si>
    <t xml:space="preserve">               (Population in Number)</t>
  </si>
  <si>
    <t>Members</t>
  </si>
  <si>
    <t>Working Capital</t>
  </si>
  <si>
    <t>Commercial Bank</t>
  </si>
  <si>
    <t>Post Offices</t>
  </si>
  <si>
    <t>Surfaced</t>
  </si>
  <si>
    <t>Finance :</t>
  </si>
  <si>
    <t>Latitude</t>
  </si>
  <si>
    <t>Longitude</t>
  </si>
  <si>
    <t>2005-06</t>
  </si>
  <si>
    <t>Higher Secondary
 School</t>
  </si>
  <si>
    <t>Registered Working Factories (Daily Average)</t>
  </si>
  <si>
    <t>Reporting
 Area</t>
  </si>
  <si>
    <t>Jan Shiksha Sansthan</t>
  </si>
  <si>
    <t xml:space="preserve"> North</t>
  </si>
  <si>
    <t>South</t>
  </si>
  <si>
    <t xml:space="preserve"> East  </t>
  </si>
  <si>
    <t>West</t>
  </si>
  <si>
    <t>(d) Railway (ER/SER) / DVC etc.</t>
  </si>
  <si>
    <t>Others
(CC+OP+MTP etc.)</t>
  </si>
  <si>
    <t xml:space="preserve"> * * * * * * * * * * </t>
  </si>
  <si>
    <t>Public
 lighting</t>
  </si>
  <si>
    <t>No. of 
Tourist Lodge
(Govt.)</t>
  </si>
  <si>
    <t>Madhyamik Siksha Kendras</t>
  </si>
  <si>
    <t>(b) Junior Govt. Polytechnics</t>
  </si>
  <si>
    <t>Head Constable/
Head Police Driver</t>
  </si>
  <si>
    <t>DISTRICT STATISTICAL HANDBOOK</t>
  </si>
  <si>
    <t>PREFACE</t>
  </si>
  <si>
    <t>Birpara</t>
  </si>
  <si>
    <t xml:space="preserve">Jagijhora Barabak </t>
  </si>
  <si>
    <t>Jateshwar</t>
  </si>
  <si>
    <t>3) Exe. Engr. (Agri. Mech.) &amp; (Agri. Irri.), Jalpaiguri</t>
  </si>
  <si>
    <t>Parangarpar</t>
  </si>
  <si>
    <t>M.C.</t>
  </si>
  <si>
    <t>2/1/9</t>
  </si>
  <si>
    <t>1/0/6</t>
  </si>
  <si>
    <t>1/0/20</t>
  </si>
  <si>
    <t>4/1/35</t>
  </si>
  <si>
    <t xml:space="preserve">Dakshin Khagrabari </t>
  </si>
  <si>
    <t>Census Town
(2011)</t>
  </si>
  <si>
    <t>Dated, Kolkata</t>
  </si>
  <si>
    <t>Bureau of Applied Economics &amp; Statistics</t>
  </si>
  <si>
    <t xml:space="preserve">   Government of West Bengal</t>
  </si>
  <si>
    <t>(1)</t>
  </si>
  <si>
    <t>(2)</t>
  </si>
  <si>
    <t>(3)</t>
  </si>
  <si>
    <t>(4)</t>
  </si>
  <si>
    <t>(5)</t>
  </si>
  <si>
    <t>(6)</t>
  </si>
  <si>
    <t>(7)</t>
  </si>
  <si>
    <t>Month</t>
  </si>
  <si>
    <t>Normal</t>
  </si>
  <si>
    <t>Actual</t>
  </si>
  <si>
    <t>January</t>
  </si>
  <si>
    <t>February</t>
  </si>
  <si>
    <t>March</t>
  </si>
  <si>
    <t>April</t>
  </si>
  <si>
    <t>May</t>
  </si>
  <si>
    <t>June</t>
  </si>
  <si>
    <t>July</t>
  </si>
  <si>
    <t>August</t>
  </si>
  <si>
    <t>September</t>
  </si>
  <si>
    <t>October</t>
  </si>
  <si>
    <t>November</t>
  </si>
  <si>
    <t>December</t>
  </si>
  <si>
    <t>Total</t>
  </si>
  <si>
    <t>(8)</t>
  </si>
  <si>
    <t>(9)</t>
  </si>
  <si>
    <t>(10)</t>
  </si>
  <si>
    <t>(11)</t>
  </si>
  <si>
    <t>Mean</t>
  </si>
  <si>
    <t>For the year</t>
  </si>
  <si>
    <t>Sub-Division</t>
  </si>
  <si>
    <t>Panchayat</t>
  </si>
  <si>
    <t>Samity</t>
  </si>
  <si>
    <t>Gram</t>
  </si>
  <si>
    <t>(2001)</t>
  </si>
  <si>
    <t>(Number)</t>
  </si>
  <si>
    <t>Town</t>
  </si>
  <si>
    <t>Maize^</t>
  </si>
  <si>
    <t>^ Bhadui Maize only</t>
  </si>
  <si>
    <t>**In Bales per hectare</t>
  </si>
  <si>
    <t>No.</t>
  </si>
  <si>
    <t>Ward</t>
  </si>
  <si>
    <t>D.F.D., Buxa, Alipurduar</t>
  </si>
  <si>
    <t>Divisonal Manager, Jalpaiguri Saw Milling Divn.</t>
  </si>
  <si>
    <t>Teesta Parjatak Abas, Jalpaiguri</t>
  </si>
  <si>
    <t>Constituency</t>
  </si>
  <si>
    <t>Assembly</t>
  </si>
  <si>
    <t>Parliamentary</t>
  </si>
  <si>
    <t>(Millimetre)</t>
  </si>
  <si>
    <t>Current Calendar Year</t>
  </si>
  <si>
    <t>Current Financial Year</t>
  </si>
  <si>
    <t xml:space="preserve">Census Year </t>
  </si>
  <si>
    <t>2001</t>
  </si>
  <si>
    <t>Source : Census of India, 1991 &amp; 2001</t>
  </si>
  <si>
    <t>Index with 1901 as base</t>
  </si>
  <si>
    <t>Male</t>
  </si>
  <si>
    <t>Female</t>
  </si>
  <si>
    <t>Urban</t>
  </si>
  <si>
    <t>Rural</t>
  </si>
  <si>
    <t>Alipurduar 
Sub-Div.</t>
  </si>
  <si>
    <t>Alipurduar Sub-Division</t>
  </si>
  <si>
    <t>Alipurduar 
Sub-Division</t>
  </si>
  <si>
    <t>* Production in 1000 bales of 180 kgs each</t>
  </si>
  <si>
    <t xml:space="preserve">            </t>
  </si>
  <si>
    <t xml:space="preserve">          </t>
  </si>
  <si>
    <t>Age group (Years)</t>
  </si>
  <si>
    <t>P.C.</t>
  </si>
  <si>
    <t>(12)</t>
  </si>
  <si>
    <t>(13)</t>
  </si>
  <si>
    <t>(14)</t>
  </si>
  <si>
    <t>(15)</t>
  </si>
  <si>
    <t>(16)</t>
  </si>
  <si>
    <t>(17)</t>
  </si>
  <si>
    <t>(19)</t>
  </si>
  <si>
    <t>(18)</t>
  </si>
  <si>
    <t>0-4</t>
  </si>
  <si>
    <t>5-9</t>
  </si>
  <si>
    <t>10-14</t>
  </si>
  <si>
    <t>15-19</t>
  </si>
  <si>
    <t>20-24</t>
  </si>
  <si>
    <t>Number of Medical Institutions in</t>
  </si>
  <si>
    <t>25-29</t>
  </si>
  <si>
    <t>30-34</t>
  </si>
  <si>
    <t>35-39</t>
  </si>
  <si>
    <t>40-44</t>
  </si>
  <si>
    <t>45-49</t>
  </si>
  <si>
    <t>50-54</t>
  </si>
  <si>
    <t>55-59</t>
  </si>
  <si>
    <t>60-64</t>
  </si>
  <si>
    <t>65-69</t>
  </si>
  <si>
    <t>Age not stated</t>
  </si>
  <si>
    <t>All Ages</t>
  </si>
  <si>
    <t>70-74</t>
  </si>
  <si>
    <t>75-79</t>
  </si>
  <si>
    <t>80+</t>
  </si>
  <si>
    <t>Sub-division / Town</t>
  </si>
  <si>
    <t xml:space="preserve">Male </t>
  </si>
  <si>
    <t xml:space="preserve">Number </t>
  </si>
  <si>
    <t>PC to TW</t>
  </si>
  <si>
    <t>Cultivators</t>
  </si>
  <si>
    <t>Class of Total Workers</t>
  </si>
  <si>
    <t>(L.S.G./Private) Hospitals</t>
  </si>
  <si>
    <t>Super / Director of the respective (L.S.G./Private) Hospitals</t>
  </si>
  <si>
    <t>Supdt. of Rly. Hospitals, N.J.P. &amp; Alipurduar</t>
  </si>
  <si>
    <t>Super / Director of the respective 
(L.S.G./ Private) Hospitals</t>
  </si>
  <si>
    <t>Agricultural Labourers</t>
  </si>
  <si>
    <t>Other Workers</t>
  </si>
  <si>
    <t>Source : Directorate of Agriculture (Evaluation), Govt. of W.B.</t>
  </si>
  <si>
    <t>Fibres :</t>
  </si>
  <si>
    <t>Fibres*:</t>
  </si>
  <si>
    <t>Fibres* :</t>
  </si>
  <si>
    <t>Source : Directorate of Food Processing Industries and Horticulture, Govt. of W.B.</t>
  </si>
  <si>
    <t>Stack</t>
  </si>
  <si>
    <t>Poultry :</t>
  </si>
  <si>
    <t>SAHC+DVH</t>
  </si>
  <si>
    <t>TABLE 2.1</t>
  </si>
  <si>
    <t>TABLE 2.1(a)</t>
  </si>
  <si>
    <t>TABLE 2.1(b)</t>
  </si>
  <si>
    <t>TABLE 2.2</t>
  </si>
  <si>
    <t>TABLE 2.4(a)</t>
  </si>
  <si>
    <t>TABLE 2.4(b)</t>
  </si>
  <si>
    <t>TABLE 2.5(a)</t>
  </si>
  <si>
    <t>TABLE 2.6</t>
  </si>
  <si>
    <t>TABLE 2.5(b)</t>
  </si>
  <si>
    <t>TABLE 2.7</t>
  </si>
  <si>
    <t>TABLE 2.8</t>
  </si>
  <si>
    <t>TABLE 2.9</t>
  </si>
  <si>
    <t>TABLE 2.10</t>
  </si>
  <si>
    <t>TABLE 2.10(a)</t>
  </si>
  <si>
    <t>TABLE 2.11</t>
  </si>
  <si>
    <t>TABLE 3.1</t>
  </si>
  <si>
    <t>TABLE 3.2</t>
  </si>
  <si>
    <t>TABLE 3.2(a)</t>
  </si>
  <si>
    <t>TABLE 3.3</t>
  </si>
  <si>
    <t>TABLE 3.3(a)</t>
  </si>
  <si>
    <t>TABLE 4.1(a)</t>
  </si>
  <si>
    <t>TABLE 4.1(b)</t>
  </si>
  <si>
    <t>TABLE 4.1(c)</t>
  </si>
  <si>
    <t>TABLE 4.2(a)</t>
  </si>
  <si>
    <t>TABLE 4.2(b)</t>
  </si>
  <si>
    <t>TABLE 4.2(c)</t>
  </si>
  <si>
    <t>TABLE 4.3(a)</t>
  </si>
  <si>
    <t>TABLE 4.3(b)</t>
  </si>
  <si>
    <t>TABLE 4.3(c)</t>
  </si>
  <si>
    <t>TABLE 4.5</t>
  </si>
  <si>
    <t>TABLE 4.7</t>
  </si>
  <si>
    <t>TABLE 4.8</t>
  </si>
  <si>
    <t>TABLE 5.1</t>
  </si>
  <si>
    <t>TABLE 5.1(a)</t>
  </si>
  <si>
    <t>TABLE 5.1(b)</t>
  </si>
  <si>
    <t>TABLE 5.2</t>
  </si>
  <si>
    <t>TABLE 5.3</t>
  </si>
  <si>
    <t>TABLE 5.3(a)</t>
  </si>
  <si>
    <t>TABLE 5.3(b)</t>
  </si>
  <si>
    <t xml:space="preserve">TABLE 5.3(c)  </t>
  </si>
  <si>
    <t>TABLE 5.3(d)</t>
  </si>
  <si>
    <t>TABLE 5.3(e)</t>
  </si>
  <si>
    <t>TABLE 5.3(f)</t>
  </si>
  <si>
    <t>TABLE 5.4</t>
  </si>
  <si>
    <t>TABLE 5.5</t>
  </si>
  <si>
    <t>TABLE 5.5(a)</t>
  </si>
  <si>
    <t>TABLE 5.7</t>
  </si>
  <si>
    <t>TABLE 5.8</t>
  </si>
  <si>
    <t>TABLE 5.6</t>
  </si>
  <si>
    <t>TABLE 6.1</t>
  </si>
  <si>
    <t>TABLE 6.2</t>
  </si>
  <si>
    <t>TABLE 7.1</t>
  </si>
  <si>
    <t>TABLE 7.2</t>
  </si>
  <si>
    <t>TABLE 7.3</t>
  </si>
  <si>
    <t>TABLE 8.1</t>
  </si>
  <si>
    <t>TABLE 8.2</t>
  </si>
  <si>
    <t xml:space="preserve">Upto 31st March </t>
  </si>
  <si>
    <t>TABLE 8.2(a)</t>
  </si>
  <si>
    <t>TABLE 8.3</t>
  </si>
  <si>
    <t>Manufacture of paper and paper products</t>
  </si>
  <si>
    <t>Manufacture of chemicals and chemical products</t>
  </si>
  <si>
    <t xml:space="preserve">Manufacture of other non-metalic mineral products </t>
  </si>
  <si>
    <t>Manufacture of basic metals</t>
  </si>
  <si>
    <t>Manufacture of fabricated metal products except machinery and equipment</t>
  </si>
  <si>
    <t>TABLE 8.4</t>
  </si>
  <si>
    <t>TABLE 9.1</t>
  </si>
  <si>
    <t>TABLE 9.2</t>
  </si>
  <si>
    <t>TABLE 9.2(a)</t>
  </si>
  <si>
    <t>TABLE 9.2(b)</t>
  </si>
  <si>
    <t>TABLE 10.1</t>
  </si>
  <si>
    <t>TABLE 10.2</t>
  </si>
  <si>
    <t>TABLE 10.3</t>
  </si>
  <si>
    <t>TABLE 11.1</t>
  </si>
  <si>
    <t>TABLE 11.2</t>
  </si>
  <si>
    <t>TABLE 11.1(a)</t>
  </si>
  <si>
    <t>TABLE 11.3</t>
  </si>
  <si>
    <t>TABLE 11.4</t>
  </si>
  <si>
    <t xml:space="preserve">TABLE 12.1 </t>
  </si>
  <si>
    <t>TABLE 12.2</t>
  </si>
  <si>
    <t>TABLE 12.3</t>
  </si>
  <si>
    <t>TABLE 12.4</t>
  </si>
  <si>
    <t>TABLE 12.5</t>
  </si>
  <si>
    <t>TABLE 12.6</t>
  </si>
  <si>
    <t>TABLE 12.7</t>
  </si>
  <si>
    <t>TABLE 13.1</t>
  </si>
  <si>
    <t>61.82</t>
  </si>
  <si>
    <t>69.73</t>
  </si>
  <si>
    <t>86.75</t>
  </si>
  <si>
    <t>77.75</t>
  </si>
  <si>
    <t>82.39</t>
  </si>
  <si>
    <t>79.95</t>
  </si>
  <si>
    <t>66.23</t>
  </si>
  <si>
    <t>73.25</t>
  </si>
  <si>
    <t>TABLE 13.2</t>
  </si>
  <si>
    <t>TABLE 13.3</t>
  </si>
  <si>
    <t>TABLE 14.1</t>
  </si>
  <si>
    <t>TABLE 14.2</t>
  </si>
  <si>
    <t>TABLE 15.1</t>
  </si>
  <si>
    <t>TABLE 15.2</t>
  </si>
  <si>
    <t>TABLE 16.1</t>
  </si>
  <si>
    <t>TABLE 17.1</t>
  </si>
  <si>
    <t>TABLE 17.2</t>
  </si>
  <si>
    <t>TABLE 18.1</t>
  </si>
  <si>
    <t>TABLE 18.1 (Concld.)</t>
  </si>
  <si>
    <t>TABLE 18.2</t>
  </si>
  <si>
    <t>TABLE 18.3</t>
  </si>
  <si>
    <t>TABLE 19.1</t>
  </si>
  <si>
    <t>TABLE 20.1</t>
  </si>
  <si>
    <t>TABLE 20.2</t>
  </si>
  <si>
    <t>TABLE 21.1</t>
  </si>
  <si>
    <t>TABLE 21.2</t>
  </si>
  <si>
    <t>DTW</t>
  </si>
  <si>
    <t>Main workers</t>
  </si>
  <si>
    <t>Marginal workers</t>
  </si>
  <si>
    <t>Total Population</t>
  </si>
  <si>
    <t>Category</t>
  </si>
  <si>
    <t>Total Workers :</t>
  </si>
  <si>
    <t>(a)</t>
  </si>
  <si>
    <t>Main workers :</t>
  </si>
  <si>
    <t xml:space="preserve">Total </t>
  </si>
  <si>
    <t>(b)</t>
  </si>
  <si>
    <t>Marginal workers :</t>
  </si>
  <si>
    <t>Non-workers :</t>
  </si>
  <si>
    <t>A.</t>
  </si>
  <si>
    <t>Cultivators :</t>
  </si>
  <si>
    <t>Agricultural Labourers :</t>
  </si>
  <si>
    <t>* As per Agricultural Census, W.B. (2010-11)</t>
  </si>
  <si>
    <t>Agricultural Census, W.B. (2010-11)</t>
  </si>
  <si>
    <t>No. of
 holdings</t>
  </si>
  <si>
    <t>Dy. Director, Animal Resources and 
Dev. Parishad Office, Jalpaiguri</t>
  </si>
  <si>
    <t xml:space="preserve">Source : </t>
  </si>
  <si>
    <t>Household Industry Workers :</t>
  </si>
  <si>
    <t>Other Workers :</t>
  </si>
  <si>
    <t>4/2/1(P)</t>
  </si>
  <si>
    <t>3/1/0</t>
  </si>
  <si>
    <t>6/1/0</t>
  </si>
  <si>
    <t>13/4/1(P)</t>
  </si>
  <si>
    <t>N.B.:  C.D.Block / M / M.C. / N.A.- wise figures of 
          Census 2011 for Area are not available at present</t>
  </si>
  <si>
    <t>Manufacture of Food Products</t>
  </si>
  <si>
    <t>Manufacture of wood and  products of wood &amp; cork except furniture;
manufacture of articles of straw and plaiting materials</t>
  </si>
  <si>
    <t>Source : Bureau of Applied Economics &amp; Statistics, Govt. of W.B.</t>
  </si>
  <si>
    <t>Head of each Ekalabya School</t>
  </si>
  <si>
    <t>Total Workers : (1+2+3+4) = (a+b)</t>
  </si>
  <si>
    <t xml:space="preserve">      Total</t>
  </si>
  <si>
    <t xml:space="preserve">      Rural</t>
  </si>
  <si>
    <t>Expendi-
ture
('000 Rs.)</t>
  </si>
  <si>
    <t>Source: Census of India, 2001 &amp; 2011</t>
  </si>
  <si>
    <t xml:space="preserve">(a) less than 50 hectares </t>
  </si>
  <si>
    <t>(b)  Less than 50 tonnes</t>
  </si>
  <si>
    <t>Assistance 
to needy 
fishermen
('000 Rs.)</t>
  </si>
  <si>
    <t>1) Assistant Director of Fisheries, Jalpaiguri</t>
  </si>
  <si>
    <t>Source : Lead Bank Officer, Jalpaiguri</t>
  </si>
  <si>
    <t xml:space="preserve">      Urban</t>
  </si>
  <si>
    <t>Others</t>
  </si>
  <si>
    <t>Religion not stated</t>
  </si>
  <si>
    <t>Sadar Sub-Div.</t>
  </si>
  <si>
    <t xml:space="preserve">Jalpaiguri </t>
  </si>
  <si>
    <t>Maynaguri</t>
  </si>
  <si>
    <t>Dhupguri</t>
  </si>
  <si>
    <t>Mal Sub-Div.</t>
  </si>
  <si>
    <t>Mal</t>
  </si>
  <si>
    <t>Metiali</t>
  </si>
  <si>
    <t>Nagrakata</t>
  </si>
  <si>
    <t>Kumargram</t>
  </si>
  <si>
    <t>Alipurduar Sub-Div.</t>
  </si>
  <si>
    <t>Falakata</t>
  </si>
  <si>
    <t>Alipurduar</t>
  </si>
  <si>
    <t>Shamuktala</t>
  </si>
  <si>
    <t>Madarihat-Birpara</t>
  </si>
  <si>
    <t>Rajganj</t>
  </si>
  <si>
    <t>Jalpaiguri(M)</t>
  </si>
  <si>
    <t>Dhupguri(M)</t>
  </si>
  <si>
    <t>Siliguri(M.C.Part)</t>
  </si>
  <si>
    <t>Mal(M)</t>
  </si>
  <si>
    <t>Kalchini</t>
  </si>
  <si>
    <t>Alipurduar-I</t>
  </si>
  <si>
    <t>Alipurduar(M)</t>
  </si>
  <si>
    <t>Alipurduar-II</t>
  </si>
  <si>
    <t>-</t>
  </si>
  <si>
    <t>Source : Census of India, 2001</t>
  </si>
  <si>
    <t>Disability</t>
  </si>
  <si>
    <t xml:space="preserve">Sources : </t>
  </si>
  <si>
    <t>Public</t>
  </si>
  <si>
    <t>Private</t>
  </si>
  <si>
    <t>Vasectomy</t>
  </si>
  <si>
    <t>Tubectomy</t>
  </si>
  <si>
    <t>I.U.D.</t>
  </si>
  <si>
    <t>Year
(Census)</t>
  </si>
  <si>
    <t>Cases treated</t>
  </si>
  <si>
    <t>farmers*</t>
  </si>
  <si>
    <t xml:space="preserve"> Til</t>
  </si>
  <si>
    <t>All Establishments</t>
  </si>
  <si>
    <t>No. of Originating/ Terminating Bus routes</t>
  </si>
  <si>
    <t>TT(PW)</t>
  </si>
  <si>
    <t>DPT</t>
  </si>
  <si>
    <t>Polio</t>
  </si>
  <si>
    <t>BCG</t>
  </si>
  <si>
    <t>Measles</t>
  </si>
  <si>
    <t>Indoor</t>
  </si>
  <si>
    <t>Outdoor</t>
  </si>
  <si>
    <t>Type of Institutions</t>
  </si>
  <si>
    <t>(a) D.I.(Primary+Junior Basic)</t>
  </si>
  <si>
    <t>(b) Municipalities / Corporations / Local bodies etc.</t>
  </si>
  <si>
    <t>(c) I.C.S.E./ C.B.S.E./Anglo-Indian &amp; Missionaries etc.</t>
  </si>
  <si>
    <t>(ii)</t>
  </si>
  <si>
    <t>(iii)</t>
  </si>
  <si>
    <t>(i)</t>
  </si>
  <si>
    <t>(iv)</t>
  </si>
  <si>
    <t>Municipal Corporation*</t>
  </si>
  <si>
    <t>5) Each Madrasah</t>
  </si>
  <si>
    <t>6) Colleges of each University</t>
  </si>
  <si>
    <t>(e) Senior Madrasahs</t>
  </si>
  <si>
    <t>Source : Agricultural Census, W.B.</t>
  </si>
  <si>
    <t>Source : Land &amp; Land  Reforms Deptt., Govt. of  W.B.</t>
  </si>
  <si>
    <t>Note : Marginal =</t>
  </si>
  <si>
    <t>Below 1.0 hectare</t>
  </si>
  <si>
    <t>Small =</t>
  </si>
  <si>
    <t>1.0 hectare and above but less than 2.0 hectares</t>
  </si>
  <si>
    <t>Semi-medium =</t>
  </si>
  <si>
    <t>2.0 hectares and above but less than 4.0 hectares</t>
  </si>
  <si>
    <t>Medium =</t>
  </si>
  <si>
    <t>4.0 hectares and above but less than 10.0 hectares</t>
  </si>
  <si>
    <t>Large =</t>
  </si>
  <si>
    <t>10.0 hectares and above. It includes mostly institutional holdings</t>
  </si>
  <si>
    <t>Source : B.A.E.&amp; S., Govt. of W.B.</t>
  </si>
  <si>
    <t>Public Water Works &amp; Sewerage Pump</t>
  </si>
  <si>
    <t>Source : Dy. Director, Animal Resources &amp;  Development Parishad Office, Jalpaiguri</t>
  </si>
  <si>
    <t>N.B. :  1 Ganda = 4 No, 1 Pon = 20 Ganda =  80 No,  
           1 Kahan = 16 Pon = 320 Ganda = 1280 No.</t>
  </si>
  <si>
    <t>Administrative Set-up :</t>
  </si>
  <si>
    <t>Total Workers</t>
  </si>
  <si>
    <t>Medical Facilities :</t>
  </si>
  <si>
    <t>Total Beds</t>
  </si>
  <si>
    <t>Speacial Case</t>
  </si>
  <si>
    <t>Banking :</t>
  </si>
  <si>
    <t>Supdt. of Rly. Hospital, N.J.P. &amp; Alipurduar</t>
  </si>
  <si>
    <t>3*</t>
  </si>
  <si>
    <t>*Two Private B.Ed. Colleges have been closed during 2012-13</t>
  </si>
  <si>
    <t>77.3 (P)</t>
  </si>
  <si>
    <t>Fresh registration 
during the year</t>
  </si>
  <si>
    <t>Placement effected 
during the year</t>
  </si>
  <si>
    <t>On live-register at the 
end of the year</t>
  </si>
  <si>
    <t>Vacancies notified 
during the year</t>
  </si>
  <si>
    <t>Source : Dist. Social Welfare Officer, Jalpaiguri</t>
  </si>
  <si>
    <t>1) Directorate of Agriculture, Govt. of W.B.</t>
  </si>
  <si>
    <t>I.T.P.A., Jalpaiguri</t>
  </si>
  <si>
    <t>Tea Board, Binnaguri</t>
  </si>
  <si>
    <t>2. Forest Produce</t>
  </si>
  <si>
    <t>3. Revenue &amp; Expenditure</t>
  </si>
  <si>
    <t>Water Investigation &amp; Dev. Deptt., Govt. of W.B.</t>
  </si>
  <si>
    <t>2011-12</t>
  </si>
  <si>
    <t>Military Hospital, Binnaguri, Jalpaiguri</t>
  </si>
  <si>
    <t>1(Part)</t>
  </si>
  <si>
    <t>m.m.</t>
  </si>
  <si>
    <t>Estimated Number of Live-stock and Poultry in the Blocks</t>
  </si>
  <si>
    <t>Note : Total Workers = Main workers + Marginal workers</t>
  </si>
  <si>
    <t>3) Education cell under each Municipality / Corporation / Local Body</t>
  </si>
  <si>
    <t>7) Each Study Centre of Open University</t>
  </si>
  <si>
    <t>1) D.I. of Schools (Primary)</t>
  </si>
  <si>
    <t>2) D.I. of Schools (Secondary)</t>
  </si>
  <si>
    <t>151.7 (P)</t>
  </si>
  <si>
    <t>1962 (P)</t>
  </si>
  <si>
    <t>1) Divisional Forest Officers, Jaipaiguri, Coochbehar &amp; Baikunthapur</t>
  </si>
  <si>
    <t>1) Irrigation &amp; Waterways Directorate, Govt. of W.B.</t>
  </si>
  <si>
    <t>Scheduled 
Caste</t>
  </si>
  <si>
    <t>Scheduled 
Tribe</t>
  </si>
  <si>
    <t>Supdt. Engineer, W.B.S.E.B., Jalpaiguri District Circle</t>
  </si>
  <si>
    <t>* The decline in length of roads due to transfer 
   of authority of maintenance to other agencies.</t>
  </si>
  <si>
    <t>Source : Asstt. Registrars of Co-operative Societies, Jalpaiguri &amp; Coochbehar</t>
  </si>
  <si>
    <t>Milk (Thousand tonnes)</t>
  </si>
  <si>
    <t>Source : Assistant Director of  Agricultural Marketing (Admin.), Jalpaiguri</t>
  </si>
  <si>
    <t xml:space="preserve">Sadar Sub-Division </t>
  </si>
  <si>
    <t>27º00' N</t>
  </si>
  <si>
    <t>26º16' N</t>
  </si>
  <si>
    <t>89º53' E</t>
  </si>
  <si>
    <t>88º25' E</t>
  </si>
  <si>
    <t>26º32' N</t>
  </si>
  <si>
    <t>88º43' E</t>
  </si>
  <si>
    <t xml:space="preserve">Constable / Driver  </t>
  </si>
  <si>
    <t>Notes : 1)</t>
  </si>
  <si>
    <t>Marginal farmer possesses agricultural 
land measuring upto 1 hectare</t>
  </si>
  <si>
    <t>Small farmer possesses agricultural land measuring 
more than 1 hectare and upto 2 hectares</t>
  </si>
  <si>
    <t>2) F.F.D.A., Jalpaiguri</t>
  </si>
  <si>
    <t>Source : Block Development Officers, Jalpaiguri</t>
  </si>
  <si>
    <t>Engineering / Technical Schools</t>
  </si>
  <si>
    <t>(a) Junior Technical Schools</t>
  </si>
  <si>
    <t>(c) Industrial Training Institutes (ITI)</t>
  </si>
  <si>
    <t>All PTTI &amp; Nursing Training Institutes</t>
  </si>
  <si>
    <t>Table No.</t>
  </si>
  <si>
    <t>(a) Pre-primary &amp; Primary Teachers' Training Institutes (PTTI)</t>
  </si>
  <si>
    <t>(b) Certificate oriented Nursing Training Schools</t>
  </si>
  <si>
    <t>Engineering / Medical / Technical Colleges</t>
  </si>
  <si>
    <t>(a) Medical (Allopathic,Dental,Homoeopathic,Ayurvedic) Colleges</t>
  </si>
  <si>
    <t>(b) Engineering Colleges (Govt.+Private)</t>
  </si>
  <si>
    <t>(c) Management Colleges (Govt.+Private)</t>
  </si>
  <si>
    <t>(d) Polytechnics (Govt.+Private)</t>
  </si>
  <si>
    <t>(e) Institute of Pharmacy / Opthalmology</t>
  </si>
  <si>
    <t>Teachers' Training &amp; Nursing Training Colleges</t>
  </si>
  <si>
    <t>(a) Teachers' Training (B.Ed.+Phy.Ed.) Colleges</t>
  </si>
  <si>
    <t>(b) Nursing Training Colleges (B.Sc.)</t>
  </si>
  <si>
    <t>Gram Panchayat &amp; 
Panchayat Samity</t>
  </si>
  <si>
    <t>(a) Law Colleges</t>
  </si>
  <si>
    <t>(b) Music Colleges</t>
  </si>
  <si>
    <t>(d) Art Colleges</t>
  </si>
  <si>
    <t>(e) Autonomous Research Institutions of Special Importance</t>
  </si>
  <si>
    <t>(c) Nutrition &amp; Home Science Colleges</t>
  </si>
  <si>
    <t>Sishu Siksha Kendras</t>
  </si>
  <si>
    <t>Adult High Schools</t>
  </si>
  <si>
    <t>Sanskrit Tols</t>
  </si>
  <si>
    <t>Ekalabya Schools</t>
  </si>
  <si>
    <t>Musur</t>
  </si>
  <si>
    <t>Addl. Superintendent</t>
  </si>
  <si>
    <t>Dy. Superintendent</t>
  </si>
  <si>
    <t>Asstt. Sergeant / Asstt.S.I.</t>
  </si>
  <si>
    <t>Agri. Income Tax</t>
  </si>
  <si>
    <t>Officer, Jalpaiguri</t>
  </si>
  <si>
    <t>P.C. to total Popu-lation of the Block</t>
  </si>
  <si>
    <t>No. of Deaths</t>
  </si>
  <si>
    <t>Non-formal Education Centres</t>
  </si>
  <si>
    <t>Anganwadi (education) Centres under I.C.D.S.</t>
  </si>
  <si>
    <t>(a) D.I.(Secondary)</t>
  </si>
  <si>
    <t>(b) Junior Madrasahs</t>
  </si>
  <si>
    <t>(b) High Madrasahs</t>
  </si>
  <si>
    <t>Musur(Small)</t>
  </si>
  <si>
    <t>Musur(Deshi)</t>
  </si>
  <si>
    <t>Matar</t>
  </si>
  <si>
    <t>Arhar</t>
  </si>
  <si>
    <t>Khesari</t>
  </si>
  <si>
    <t>Urid(Deshi)</t>
  </si>
  <si>
    <t>Egg(Poultry)</t>
  </si>
  <si>
    <t>100 Nos.</t>
  </si>
  <si>
    <t>Cow(Milk)</t>
  </si>
  <si>
    <t xml:space="preserve">    "</t>
  </si>
  <si>
    <t>100 Ltr.</t>
  </si>
  <si>
    <t>Cow(Skin)</t>
  </si>
  <si>
    <t>Each</t>
  </si>
  <si>
    <t xml:space="preserve">Sheep(Alive)(10 Kg.)   </t>
  </si>
  <si>
    <t>Onion(Deshi)</t>
  </si>
  <si>
    <t>Renewal
 Premium</t>
  </si>
  <si>
    <t xml:space="preserve">Mal </t>
  </si>
  <si>
    <t xml:space="preserve">Alipurduar </t>
  </si>
  <si>
    <t xml:space="preserve">Dhupguri </t>
  </si>
  <si>
    <t>Source : All Municipalities of Jalpaiguri</t>
  </si>
  <si>
    <t>Scheduled Caste</t>
  </si>
  <si>
    <t>Scheduled Tribe</t>
  </si>
  <si>
    <t>Sub-
centres</t>
  </si>
  <si>
    <t xml:space="preserve">Percentage of Population:  </t>
  </si>
  <si>
    <t>Percentage of Irrigated area to Cultivated area</t>
  </si>
  <si>
    <t>State Government Offices</t>
  </si>
  <si>
    <t>Consumption of Electricity</t>
  </si>
  <si>
    <t>Net Collection from Small Savings</t>
  </si>
  <si>
    <t>Annual Rainfall</t>
  </si>
  <si>
    <t xml:space="preserve">                       Minimum</t>
  </si>
  <si>
    <t>Micro &amp; Small Scale Enterprises</t>
  </si>
  <si>
    <t>Post &amp; Telegraph Offices (Combined)</t>
  </si>
  <si>
    <t>District Panchayat &amp; Rural 
Dev. Office, Jalpaiuri</t>
  </si>
  <si>
    <t xml:space="preserve">Sadar </t>
  </si>
  <si>
    <t>Sergeant (Armed S.I.)</t>
  </si>
  <si>
    <t xml:space="preserve"> Jalpaiguri </t>
  </si>
  <si>
    <t xml:space="preserve"> Mal </t>
  </si>
  <si>
    <t xml:space="preserve"> Alipurduar</t>
  </si>
  <si>
    <t>Panchayat Samity</t>
  </si>
  <si>
    <t>' 000 Hectares</t>
  </si>
  <si>
    <t>Assembly and Parliamentary Constituencies</t>
  </si>
  <si>
    <t>Department of Statistics &amp; Programme Implementation</t>
  </si>
  <si>
    <t>100.75 (P)</t>
  </si>
  <si>
    <t>101.57 (P)</t>
  </si>
  <si>
    <t>100.34 (P)</t>
  </si>
  <si>
    <t>329.25 (P)</t>
  </si>
  <si>
    <t>293.13 (P)</t>
  </si>
  <si>
    <t>288.52 (P)</t>
  </si>
  <si>
    <t>326.80 (P)</t>
  </si>
  <si>
    <t>293.77 (P)</t>
  </si>
  <si>
    <t>289.23 (P)</t>
  </si>
  <si>
    <t>Siliguri(M.C.)(Part)</t>
  </si>
  <si>
    <t>No. of Family Welfare Centres</t>
  </si>
  <si>
    <t>No. of Cases treated</t>
  </si>
  <si>
    <t>Students by sex in different type of General Educational Institutions</t>
  </si>
  <si>
    <t>Students by sex in different type of Professional &amp; Technical Educational Institutions</t>
  </si>
  <si>
    <t>Source : Census of India, 2011</t>
  </si>
  <si>
    <t xml:space="preserve">Binnaguri </t>
  </si>
  <si>
    <t>Chakiabhita</t>
  </si>
  <si>
    <t>Odlabari</t>
  </si>
  <si>
    <t>Dakshin Odlabari</t>
  </si>
  <si>
    <t xml:space="preserve">Lataguri </t>
  </si>
  <si>
    <t xml:space="preserve">Chalsa Mahabari </t>
  </si>
  <si>
    <t xml:space="preserve">Mangalbari </t>
  </si>
  <si>
    <t xml:space="preserve">Sisha-Jumrha </t>
  </si>
  <si>
    <t xml:space="preserve">Uttar Madarihat </t>
  </si>
  <si>
    <t>Mechiabasti</t>
  </si>
  <si>
    <t xml:space="preserve">Uttar Satali </t>
  </si>
  <si>
    <t>Laskarpara</t>
  </si>
  <si>
    <t xml:space="preserve">Dakhin Rampur </t>
  </si>
  <si>
    <t>Students by sex in different type of Special &amp; Non-formal Educational Institutions</t>
  </si>
  <si>
    <t>Teachers in different type of Special &amp; Non-formal Educational Institutions</t>
  </si>
  <si>
    <t xml:space="preserve">                    Male</t>
  </si>
  <si>
    <t>Mouzas</t>
  </si>
  <si>
    <t>House-
holds</t>
  </si>
  <si>
    <t>No. of constituencies reserved for</t>
  </si>
  <si>
    <t xml:space="preserve">Population </t>
  </si>
  <si>
    <t xml:space="preserve">Total Population </t>
  </si>
  <si>
    <t>Total Population (A+B) :</t>
  </si>
  <si>
    <t>All Religions</t>
  </si>
  <si>
    <t>*</t>
  </si>
  <si>
    <t xml:space="preserve">  (Degree Celsius)</t>
  </si>
  <si>
    <t>(Degree Celsius)</t>
  </si>
  <si>
    <t>Centres of Rabindra Mukta Vidyalaya</t>
  </si>
  <si>
    <t>Educational Institutions for the Blind and other Physically &amp; Mentally Handicapped</t>
  </si>
  <si>
    <t>Reformatory or certified Institutions or Welfare Homes under Social Welfare Deptt.for the Juveniles or destitute children or the children of  red-light areas</t>
  </si>
  <si>
    <t>(Population in Number)</t>
  </si>
  <si>
    <t>TABLE 2.10(a) (Concld.)</t>
  </si>
  <si>
    <t>No. of
 Govt.
 Schemes
 operated</t>
  </si>
  <si>
    <t xml:space="preserve">No. of
 persons
 engaged in
 the profession </t>
  </si>
  <si>
    <t>No. of
 Members</t>
  </si>
  <si>
    <t>1962(P)</t>
  </si>
  <si>
    <t>Reformatory or certified Institutions or Welfare Homes under Social Welfare Deptt.for the Juveniles or destitute children or the children of red-light areas</t>
  </si>
  <si>
    <t>Primary School</t>
  </si>
  <si>
    <t>Middle School</t>
  </si>
  <si>
    <t>High School</t>
  </si>
  <si>
    <t>N.B.: Literacy relates to population aged 7 years and above</t>
  </si>
  <si>
    <t>Area of holdings</t>
  </si>
  <si>
    <t>Other Fibres</t>
  </si>
  <si>
    <t>Total Fibres</t>
  </si>
  <si>
    <t xml:space="preserve"> Dhupguri</t>
  </si>
  <si>
    <t>01-04-1885</t>
  </si>
  <si>
    <t>18-08-1989</t>
  </si>
  <si>
    <t>07-02-1957</t>
  </si>
  <si>
    <t>01-06-2002</t>
  </si>
  <si>
    <t xml:space="preserve"> 20-10-1964</t>
  </si>
  <si>
    <t xml:space="preserve">Dhupguri   </t>
  </si>
  <si>
    <t xml:space="preserve">Block Primary Health Centres </t>
  </si>
  <si>
    <t xml:space="preserve"> Primary Health Centres </t>
  </si>
  <si>
    <t>31.10.2013 (P)</t>
  </si>
  <si>
    <t>Special &amp; Non-formal 
Education</t>
  </si>
  <si>
    <t>3) Tea Board of India</t>
  </si>
  <si>
    <t>1940(E)</t>
  </si>
  <si>
    <t>Local Bodies</t>
  </si>
  <si>
    <t>Total No. of Doctors</t>
  </si>
  <si>
    <t>Geographical Location</t>
  </si>
  <si>
    <t>Registered Working Factories</t>
  </si>
  <si>
    <t>Applicants on Live-register</t>
  </si>
  <si>
    <t>Fallow land other than Current fallow</t>
  </si>
  <si>
    <t>Semi-urban</t>
  </si>
  <si>
    <r>
      <t>#</t>
    </r>
    <r>
      <rPr>
        <sz val="9"/>
        <color indexed="57"/>
        <rFont val="Arial"/>
        <family val="2"/>
      </rPr>
      <t xml:space="preserve"> As per Census Population 2001</t>
    </r>
  </si>
  <si>
    <t>Sub-market Yard</t>
  </si>
  <si>
    <t>No. of Co-operative Societies</t>
  </si>
  <si>
    <t xml:space="preserve">Exe. Engr., P.W.D.(Roads)   </t>
  </si>
  <si>
    <t>4) Each of Anglo Indian, ICSE, CBSE &amp; Railway Institutions</t>
  </si>
  <si>
    <t>C.D.Block /
M / M.C.</t>
  </si>
  <si>
    <t>Sub-Division / 
C.D.Block / M / M.C.</t>
  </si>
  <si>
    <t>M / M.C. / C.T.</t>
  </si>
  <si>
    <t>Siliguri (Part)</t>
  </si>
  <si>
    <t>Note : There are 47 wards in Siliguri M.C.,out of which 33 wards belong to 
Darjeeling district and 14 wards belong to Jalpaiguri District</t>
  </si>
  <si>
    <t>Sub-Division / 
C.D.Block / 
M / M.C.</t>
  </si>
  <si>
    <t>Sub-Division / C.D.Block  / M / M.C.</t>
  </si>
  <si>
    <t>Sub-Division / C.D.Block / M / M.C.</t>
  </si>
  <si>
    <t>Sub-Division /
 C.D.Block / M / M.C.</t>
  </si>
  <si>
    <t xml:space="preserve"> Sub-Division /
 C.D.Block / M / M.C.</t>
  </si>
  <si>
    <t>Sub-Division / 
C.D.Block  / M / M.C.</t>
  </si>
  <si>
    <t xml:space="preserve"> Sub-Division / 
C.D.Block / M / M.C.</t>
  </si>
  <si>
    <t>Monthly Rainfall</t>
  </si>
  <si>
    <t>Population by religion</t>
  </si>
  <si>
    <t>Achievement of Universal Immunization Programme</t>
  </si>
  <si>
    <t>Teachers in different type of General Educational Institutions</t>
  </si>
  <si>
    <t>Year 
(as on 31st March)</t>
  </si>
  <si>
    <t>Source : All Municipalities, Jalpaiguri</t>
  </si>
  <si>
    <t>Sources :  1)</t>
  </si>
  <si>
    <t xml:space="preserve">1. Area by Class of Forest </t>
  </si>
  <si>
    <t>Forest owned by corporate bodies</t>
  </si>
  <si>
    <t>Horses and Ponies</t>
  </si>
  <si>
    <t>No. of
 policies</t>
  </si>
  <si>
    <t>No. of persons
 taken loan</t>
  </si>
  <si>
    <t>Premium Income (Rs. in thousand)</t>
  </si>
  <si>
    <t>P.W.D.(Roads), Govt. of W.B.</t>
  </si>
  <si>
    <t>Transport Department, Govt. of W.B.</t>
  </si>
  <si>
    <t xml:space="preserve">Tea Board, Jalpaiguri  </t>
  </si>
  <si>
    <t>2) Dy. Field Director, Buxa Tiger Reserve, Alipurduar (East &amp; West)</t>
  </si>
  <si>
    <t>Source : Live-stock Census Report, Govt. of W.B.</t>
  </si>
  <si>
    <t xml:space="preserve">Micro &amp; Small Scale Enterprises with corresponding Employment 
in the district of Jalpaiguri </t>
  </si>
  <si>
    <t>(Thousand K.W.H)</t>
  </si>
  <si>
    <t>Publishing activities</t>
  </si>
  <si>
    <t>Repair of computers and personal and household goods</t>
  </si>
  <si>
    <t xml:space="preserve">           (Population in number)</t>
  </si>
  <si>
    <t>B.A.E.&amp; S., Govt. of W.B.</t>
  </si>
  <si>
    <t>Cinema Houses</t>
  </si>
  <si>
    <t>Newspapers and Periodicals published</t>
  </si>
  <si>
    <t>Progress of Commercial Banking</t>
  </si>
  <si>
    <t>Police Stations and Out-posts</t>
  </si>
  <si>
    <t>Receipt and Expenditure of Zilla Parishad</t>
  </si>
  <si>
    <t>Revenue collected from different sources</t>
  </si>
  <si>
    <t>Population by religion in the Blocks</t>
  </si>
  <si>
    <t>Type of Institution</t>
  </si>
  <si>
    <t>Commercial and Gramin Banks in the Blocks</t>
  </si>
  <si>
    <t>' 000 Rs.</t>
  </si>
  <si>
    <t>(P) = Part</t>
  </si>
  <si>
    <t>Source : Collectorate (Election Deptt.), Jalpaiguri</t>
  </si>
  <si>
    <t>Maximum  and  Minimum  Temperature  by  month  in  the  district  of  Jalpaiguri</t>
  </si>
  <si>
    <t>Institutions</t>
  </si>
  <si>
    <t>Students</t>
  </si>
  <si>
    <t>Teachers</t>
  </si>
  <si>
    <t>General College &amp; University (Excluding Open University)</t>
  </si>
  <si>
    <t>(20)</t>
  </si>
  <si>
    <t>(21)</t>
  </si>
  <si>
    <t>(22)</t>
  </si>
  <si>
    <t>2013-14</t>
  </si>
  <si>
    <t>Net area 
sown</t>
  </si>
  <si>
    <t>Sl.No.</t>
  </si>
  <si>
    <t>Description</t>
  </si>
  <si>
    <t>Daily</t>
  </si>
  <si>
    <t>Weekly</t>
  </si>
  <si>
    <t>Fortnightly</t>
  </si>
  <si>
    <t>Monthly</t>
  </si>
  <si>
    <t>Bengali</t>
  </si>
  <si>
    <t>English</t>
  </si>
  <si>
    <t>Hindi</t>
  </si>
  <si>
    <t>Urdu</t>
  </si>
  <si>
    <t>L   A   N   G   U   A   G   E</t>
  </si>
  <si>
    <t>Forest Area</t>
  </si>
  <si>
    <t>2012-13</t>
  </si>
  <si>
    <t>Area under Non-agricultural use</t>
  </si>
  <si>
    <t>Barren &amp; unculturable land</t>
  </si>
  <si>
    <t>Beds per lakh of Population (Census 2011)</t>
  </si>
  <si>
    <t>Permanent pastures &amp; other grazing land</t>
  </si>
  <si>
    <t>Total
 Earning 
( ' 000 Rs.)</t>
  </si>
  <si>
    <t>Category of
 Police Force</t>
  </si>
  <si>
    <t>Receipt</t>
  </si>
  <si>
    <t>Source : Dy. Director of Small Savings, Jalpaiguri</t>
  </si>
  <si>
    <t>Current fallow</t>
  </si>
  <si>
    <t>Marginal</t>
  </si>
  <si>
    <t>Small</t>
  </si>
  <si>
    <t>Semi-medium</t>
  </si>
  <si>
    <t>Medium</t>
  </si>
  <si>
    <t>Large</t>
  </si>
  <si>
    <t>S   I   Z   E    -    C   L   A   S   S</t>
  </si>
  <si>
    <t>(Area in hectare)</t>
  </si>
  <si>
    <t xml:space="preserve">Foodgrains : </t>
  </si>
  <si>
    <t>1.</t>
  </si>
  <si>
    <t>2.</t>
  </si>
  <si>
    <t>3.</t>
  </si>
  <si>
    <t>4.</t>
  </si>
  <si>
    <t>5.</t>
  </si>
  <si>
    <t>6.</t>
  </si>
  <si>
    <t>7.</t>
  </si>
  <si>
    <t>8.</t>
  </si>
  <si>
    <t>Crops</t>
  </si>
  <si>
    <t>Rice</t>
  </si>
  <si>
    <t>Aus</t>
  </si>
  <si>
    <t>Aman</t>
  </si>
  <si>
    <t>Boro</t>
  </si>
  <si>
    <t>Wheat</t>
  </si>
  <si>
    <t>Barley</t>
  </si>
  <si>
    <t>Maize</t>
  </si>
  <si>
    <t>Other Cereals</t>
  </si>
  <si>
    <t>Total Cereals</t>
  </si>
  <si>
    <t>Tur</t>
  </si>
  <si>
    <t>Other Pulses</t>
  </si>
  <si>
    <t>Total Pulses</t>
  </si>
  <si>
    <t>Total Foodgrains</t>
  </si>
  <si>
    <t>Other Oil seeds</t>
  </si>
  <si>
    <t>Total Oil seeds</t>
  </si>
  <si>
    <t>Jute</t>
  </si>
  <si>
    <t>Mesta</t>
  </si>
  <si>
    <t>Sugarcane</t>
  </si>
  <si>
    <t>Potato</t>
  </si>
  <si>
    <t>Tobacco</t>
  </si>
  <si>
    <t>Tea</t>
  </si>
  <si>
    <t>Chillies (dry)</t>
  </si>
  <si>
    <t>Ginger</t>
  </si>
  <si>
    <t>Total Miscellaneous crops</t>
  </si>
  <si>
    <t>Sources :</t>
  </si>
  <si>
    <t>2) B.A.E.&amp; S., Govt. of W.B.</t>
  </si>
  <si>
    <t>Upto</t>
  </si>
  <si>
    <t>(Kilogram per hectare)</t>
  </si>
  <si>
    <t>* In bales / hectare</t>
  </si>
  <si>
    <t>District</t>
  </si>
  <si>
    <t>West Bengal</t>
  </si>
  <si>
    <t>Name of Fruits / Vegetables</t>
  </si>
  <si>
    <t>Area (Thousand hectares)</t>
  </si>
  <si>
    <t>Fruits</t>
  </si>
  <si>
    <t>Mango</t>
  </si>
  <si>
    <t>Banana</t>
  </si>
  <si>
    <t>Pineapple</t>
  </si>
  <si>
    <t>Papaya</t>
  </si>
  <si>
    <t>Guava</t>
  </si>
  <si>
    <t>Jackfruit</t>
  </si>
  <si>
    <t>Litchi</t>
  </si>
  <si>
    <t>Total Tax 
Collected (Rs.)</t>
  </si>
  <si>
    <t>Mandarin Orange</t>
  </si>
  <si>
    <t>Other Citrus</t>
  </si>
  <si>
    <t>Sapota</t>
  </si>
  <si>
    <t>B.</t>
  </si>
  <si>
    <t>Vegetables</t>
  </si>
  <si>
    <t xml:space="preserve">Nagrakata </t>
  </si>
  <si>
    <t xml:space="preserve">Rajganj  </t>
  </si>
  <si>
    <t xml:space="preserve">Dhupguri  </t>
  </si>
  <si>
    <t>Tomato</t>
  </si>
  <si>
    <t>Cabbage</t>
  </si>
  <si>
    <t>Handbook for the year</t>
  </si>
  <si>
    <t>Cauliflower</t>
  </si>
  <si>
    <t>Peas</t>
  </si>
  <si>
    <t>Brinjal</t>
  </si>
  <si>
    <t>Onion</t>
  </si>
  <si>
    <t>Cucurbits</t>
  </si>
  <si>
    <t>Ladies Finger</t>
  </si>
  <si>
    <t>Radish</t>
  </si>
  <si>
    <t>Name of Flowers</t>
  </si>
  <si>
    <t>Production (Thousand tonnes)</t>
  </si>
  <si>
    <t>Production</t>
  </si>
  <si>
    <t>Rose</t>
  </si>
  <si>
    <t>Chrysanthemum</t>
  </si>
  <si>
    <t>Gladiolus</t>
  </si>
  <si>
    <t>Tuberose</t>
  </si>
  <si>
    <t>Marigold</t>
  </si>
  <si>
    <t>Name of
 Sub-division</t>
  </si>
  <si>
    <t>Class of
 Offence</t>
  </si>
  <si>
    <t>30.11.2010</t>
  </si>
  <si>
    <t>30.11.2011</t>
  </si>
  <si>
    <t>Class of 
Offence</t>
  </si>
  <si>
    <t>Date of
 Establishment</t>
  </si>
  <si>
    <t>Sales
 Tax</t>
  </si>
  <si>
    <t>(Contd.)</t>
  </si>
  <si>
    <t>Source : Meteorological Department, Govt. of India</t>
  </si>
  <si>
    <t>Household Ind.Workers</t>
  </si>
  <si>
    <t>C.M.O.H., Jalpaiguri</t>
  </si>
  <si>
    <t>Dy. C.M.O.H.-III, Jalpaiguri</t>
  </si>
  <si>
    <t>Head of each centre of Rabindra Mukta Vidyalaya</t>
  </si>
  <si>
    <t>6)</t>
  </si>
  <si>
    <t>Education cell under Zilla Parishad</t>
  </si>
  <si>
    <t>7)</t>
  </si>
  <si>
    <t>Each Sanskrit Tol</t>
  </si>
  <si>
    <t>8)</t>
  </si>
  <si>
    <t>9)</t>
  </si>
  <si>
    <t>Director, Jan Shiksha Sansthan</t>
  </si>
  <si>
    <t xml:space="preserve"> TABLE 4.4</t>
  </si>
  <si>
    <r>
      <t xml:space="preserve">Recognized </t>
    </r>
    <r>
      <rPr>
        <b/>
        <u/>
        <sz val="10"/>
        <color indexed="53"/>
        <rFont val="Arial"/>
        <family val="2"/>
      </rPr>
      <t>Primary Schools</t>
    </r>
    <r>
      <rPr>
        <b/>
        <sz val="10"/>
        <color indexed="53"/>
        <rFont val="Arial"/>
        <family val="2"/>
      </rPr>
      <t xml:space="preserve"> under the control of or of the type of</t>
    </r>
  </si>
  <si>
    <r>
      <t xml:space="preserve">Recognized </t>
    </r>
    <r>
      <rPr>
        <b/>
        <u/>
        <sz val="10"/>
        <color indexed="53"/>
        <rFont val="Arial"/>
        <family val="2"/>
      </rPr>
      <t>Middle Schools</t>
    </r>
    <r>
      <rPr>
        <b/>
        <sz val="10"/>
        <color indexed="53"/>
        <rFont val="Arial"/>
        <family val="2"/>
      </rPr>
      <t xml:space="preserve"> under the control of or of the type of</t>
    </r>
  </si>
  <si>
    <r>
      <t xml:space="preserve">Recognized </t>
    </r>
    <r>
      <rPr>
        <b/>
        <u/>
        <sz val="10"/>
        <color indexed="53"/>
        <rFont val="Arial"/>
        <family val="2"/>
      </rPr>
      <t>High Schools</t>
    </r>
    <r>
      <rPr>
        <b/>
        <sz val="10"/>
        <color indexed="53"/>
        <rFont val="Arial"/>
        <family val="2"/>
      </rPr>
      <t xml:space="preserve"> under the control of or of  the type of</t>
    </r>
  </si>
  <si>
    <t>Primary Land Mortgage Bank</t>
  </si>
  <si>
    <t>Non-Credit Societies</t>
  </si>
  <si>
    <t>Rural Population</t>
  </si>
  <si>
    <t>Population by religion and by sex in the district of Jalpaiguri, 2001</t>
  </si>
  <si>
    <t>Total No. of Beds</t>
  </si>
  <si>
    <r>
      <t xml:space="preserve">Recognized </t>
    </r>
    <r>
      <rPr>
        <b/>
        <u/>
        <sz val="10"/>
        <color indexed="53"/>
        <rFont val="Arial"/>
        <family val="2"/>
      </rPr>
      <t>Higher Secondary Schools</t>
    </r>
    <r>
      <rPr>
        <b/>
        <sz val="10"/>
        <color indexed="53"/>
        <rFont val="Arial"/>
        <family val="2"/>
      </rPr>
      <t xml:space="preserve"> under the control of or of the type of</t>
    </r>
  </si>
  <si>
    <t>Other Colleges / Institutions</t>
  </si>
  <si>
    <r>
      <t xml:space="preserve">Recognized </t>
    </r>
    <r>
      <rPr>
        <b/>
        <u/>
        <sz val="10"/>
        <color indexed="53"/>
        <rFont val="Arial"/>
        <family val="2"/>
      </rPr>
      <t>High Schools</t>
    </r>
    <r>
      <rPr>
        <b/>
        <sz val="10"/>
        <color indexed="53"/>
        <rFont val="Arial"/>
        <family val="2"/>
      </rPr>
      <t xml:space="preserve"> under the control of or of the type of</t>
    </r>
  </si>
  <si>
    <t>Source :</t>
  </si>
  <si>
    <t>Sources : As in Tables 4.1(a), 4.1(b) &amp; 4.1(c)</t>
  </si>
  <si>
    <t>TABLE 4.4 (Concld.)</t>
  </si>
  <si>
    <t>Source : Census of India, 2001 &amp; 1991</t>
  </si>
  <si>
    <t>TABLE 2.3</t>
  </si>
  <si>
    <t>No. of persons died</t>
  </si>
  <si>
    <t>No. of accidents occurred</t>
  </si>
  <si>
    <t>Police Stations</t>
  </si>
  <si>
    <t>Out-posts</t>
  </si>
  <si>
    <t>Collection</t>
  </si>
  <si>
    <t>Working Capital
('000 Rs.)</t>
  </si>
  <si>
    <t>Jasmine</t>
  </si>
  <si>
    <t>Seasonal Flower</t>
  </si>
  <si>
    <t>Item</t>
  </si>
  <si>
    <t>Reserved forest</t>
  </si>
  <si>
    <t>Protected forest</t>
  </si>
  <si>
    <t>Unclassed state forest</t>
  </si>
  <si>
    <t>Khas forest</t>
  </si>
  <si>
    <t>Forest owned by private individuals</t>
  </si>
  <si>
    <t>hectare</t>
  </si>
  <si>
    <t xml:space="preserve">Timber </t>
  </si>
  <si>
    <t>Fuel</t>
  </si>
  <si>
    <t>Pole</t>
  </si>
  <si>
    <t>Revenue</t>
  </si>
  <si>
    <t>Expenditure</t>
  </si>
  <si>
    <t>Tank</t>
  </si>
  <si>
    <t>HDTW</t>
  </si>
  <si>
    <t>MDTW</t>
  </si>
  <si>
    <t>LDTW</t>
  </si>
  <si>
    <t>STW</t>
  </si>
  <si>
    <t>RLI</t>
  </si>
  <si>
    <t>ODW</t>
  </si>
  <si>
    <t>Area irrigated by</t>
  </si>
  <si>
    <t>TABLE 4.6</t>
  </si>
  <si>
    <t>Capacity (MT)</t>
  </si>
  <si>
    <t>No.of Cultivators benefitted</t>
  </si>
  <si>
    <t>Railway Traction &amp; Non-traction</t>
  </si>
  <si>
    <t>Cattle :</t>
  </si>
  <si>
    <t>Cows</t>
  </si>
  <si>
    <t>Young Stock</t>
  </si>
  <si>
    <t>Buffaloes :</t>
  </si>
  <si>
    <t>Goats</t>
  </si>
  <si>
    <t>Pigs</t>
  </si>
  <si>
    <t>Fowls</t>
  </si>
  <si>
    <t>Ducks</t>
  </si>
  <si>
    <t xml:space="preserve">Sadar Sub-Div. </t>
  </si>
  <si>
    <t>All Group Combined Index</t>
  </si>
  <si>
    <t xml:space="preserve">(1) </t>
  </si>
  <si>
    <t>Paddy(Aman Fine)</t>
  </si>
  <si>
    <t>Qtl.</t>
  </si>
  <si>
    <t>Paddy(Common)</t>
  </si>
  <si>
    <t>Oil Seeds :</t>
  </si>
  <si>
    <t>Miscellaneous crops :</t>
  </si>
  <si>
    <t xml:space="preserve">Centre : Jalpaiguri </t>
  </si>
  <si>
    <t xml:space="preserve">Municipality </t>
  </si>
  <si>
    <t>' 000 KWH</t>
  </si>
  <si>
    <t>Rice(Aman Fine)</t>
  </si>
  <si>
    <t>BAHC</t>
  </si>
  <si>
    <t>ABAHC</t>
  </si>
  <si>
    <t>ADAC</t>
  </si>
  <si>
    <t>MAHC</t>
  </si>
  <si>
    <t>Central Bank</t>
  </si>
  <si>
    <t>Contents  ( Concld.)</t>
  </si>
  <si>
    <t>At a Glance (Concld.)</t>
  </si>
  <si>
    <t>Page No.</t>
  </si>
  <si>
    <t>Minor Offences</t>
  </si>
  <si>
    <t xml:space="preserve"> Cinema Houses in the district of  Jalpaiguri</t>
  </si>
  <si>
    <t>All Credit Societies (1 + 2 + 3 + 4)</t>
  </si>
  <si>
    <t>Total of All Credit &amp; Non-Credit Societies (5 + 6)</t>
  </si>
  <si>
    <t>Year (as on the last Friday of June)</t>
  </si>
  <si>
    <t>Live-stock</t>
  </si>
  <si>
    <t>Urban / Metropolitan</t>
  </si>
  <si>
    <t xml:space="preserve">2) Zilla Saksharata Prasar Samity, Jalpaiguri </t>
  </si>
  <si>
    <t>Source : Directorate of Animal Resources &amp; Animal Health, Govt.of W.B.</t>
  </si>
  <si>
    <t>2009-10</t>
  </si>
  <si>
    <t>2010-11</t>
  </si>
  <si>
    <t>Source : Directorate of Agricultural Marketing, Govt. of W.B.</t>
  </si>
  <si>
    <t>Directorate of Agri., Govt. of W.B.</t>
  </si>
  <si>
    <t>5)</t>
  </si>
  <si>
    <t>(a) "Rural" includes all centres having population of 10,000 or less</t>
  </si>
  <si>
    <t>(b) "Semi-urban" includes all centres with population over 10,000 and upto 1 lakh</t>
  </si>
  <si>
    <t>Name 
of
 Block</t>
  </si>
  <si>
    <t>Commercial
 Bank</t>
  </si>
  <si>
    <t>Gramin
 Bank</t>
  </si>
  <si>
    <t>Zilla 
Parishad</t>
  </si>
  <si>
    <t>(c) "Urban" includes all centres with population over 1 lakh and upto 10 lakhs</t>
  </si>
  <si>
    <t>Department of Statistical Analysis and Computer Services, Mumbai, Reserve Bank of India</t>
  </si>
  <si>
    <t>New Business</t>
  </si>
  <si>
    <t>Loan Distributed</t>
  </si>
  <si>
    <t>1st year's premium including 1st premium</t>
  </si>
  <si>
    <t>Public Library</t>
  </si>
  <si>
    <t>Employment</t>
  </si>
  <si>
    <t>Domestic</t>
  </si>
  <si>
    <t>Industrial</t>
  </si>
  <si>
    <t xml:space="preserve">Agricultural irrigation &amp; dewatering    </t>
  </si>
  <si>
    <t>P.C.to respective total population</t>
  </si>
  <si>
    <t xml:space="preserve">Alipurduar(M) </t>
  </si>
  <si>
    <t>Rajgang</t>
  </si>
  <si>
    <t>Rajganj 
Bhaktinagar(P)</t>
  </si>
  <si>
    <t>Bhaktinagar(P)</t>
  </si>
  <si>
    <t>Dhupguri(P)</t>
  </si>
  <si>
    <t>Dhupguri(P)
 Banarhat(P)</t>
  </si>
  <si>
    <t>Nagrakata(P)
Banarhat(P)</t>
  </si>
  <si>
    <t xml:space="preserve">Nagrakata(P)
</t>
  </si>
  <si>
    <t>Madarihat
Birpara</t>
  </si>
  <si>
    <t>Kalchini
Joygaon</t>
  </si>
  <si>
    <t>Cocoons production</t>
  </si>
  <si>
    <t>Tasar</t>
  </si>
  <si>
    <t>Eri</t>
  </si>
  <si>
    <t>Sector</t>
  </si>
  <si>
    <t>Sectors</t>
  </si>
  <si>
    <t>Agricultural</t>
  </si>
  <si>
    <t>Non-agricultural</t>
  </si>
  <si>
    <t>Jalpaiguri</t>
  </si>
  <si>
    <t>Females employed</t>
  </si>
  <si>
    <t>Municipal Corporations</t>
  </si>
  <si>
    <t>Municipalities</t>
  </si>
  <si>
    <t>Manufacture of Tobacco Products</t>
  </si>
  <si>
    <t xml:space="preserve">Manufacture of Textiles </t>
  </si>
  <si>
    <t xml:space="preserve">Manufacture of Leather &amp; related Products </t>
  </si>
  <si>
    <t>Manufacture of furniture</t>
  </si>
  <si>
    <t>Wholesale and Retail Trade and  Repair of motor vehicles &amp; motorcycles</t>
  </si>
  <si>
    <t>Warehousing and Support activities for Transportation</t>
  </si>
  <si>
    <t>Amount
 disbursed
(in '000 Rs.)</t>
  </si>
  <si>
    <r>
      <t xml:space="preserve">Amount 
disbursed
</t>
    </r>
    <r>
      <rPr>
        <sz val="10"/>
        <color indexed="19"/>
        <rFont val="Arial Narrow"/>
        <family val="2"/>
      </rPr>
      <t>(in '000 Rs.)</t>
    </r>
  </si>
  <si>
    <r>
      <t xml:space="preserve">Amount 
disbursed 
</t>
    </r>
    <r>
      <rPr>
        <sz val="10"/>
        <color indexed="19"/>
        <rFont val="Arial Narrow"/>
        <family val="2"/>
      </rPr>
      <t>(in '000 Rs.)</t>
    </r>
  </si>
  <si>
    <t>Manufacture of  beverages</t>
  </si>
  <si>
    <t>Hospitals</t>
  </si>
  <si>
    <t>Rural Hospitals</t>
  </si>
  <si>
    <t>No. of
 Ferry Services</t>
  </si>
  <si>
    <t>Name of
 the district</t>
  </si>
  <si>
    <t xml:space="preserve"> No. of
 Males</t>
  </si>
  <si>
    <t>Occupational Group</t>
  </si>
  <si>
    <t>Clerical</t>
  </si>
  <si>
    <t>Educational</t>
  </si>
  <si>
    <t>Unskilled</t>
  </si>
  <si>
    <t>All groups</t>
  </si>
  <si>
    <t>Old-age assistance</t>
  </si>
  <si>
    <t>Recipients (No.)</t>
  </si>
  <si>
    <t>Widow assistance</t>
  </si>
  <si>
    <t>Handicapped assistance</t>
  </si>
  <si>
    <t>Murder</t>
  </si>
  <si>
    <t>Dacoity</t>
  </si>
  <si>
    <t>Robbery</t>
  </si>
  <si>
    <t>Burglary</t>
  </si>
  <si>
    <t>Rioting</t>
  </si>
  <si>
    <t>Theft</t>
  </si>
  <si>
    <t>Offences against women</t>
  </si>
  <si>
    <t>Offences Reported</t>
  </si>
  <si>
    <t>Cases Tried</t>
  </si>
  <si>
    <t>Persons Convicted</t>
  </si>
  <si>
    <t>Institutions, Students &amp; Teachers by Block, Municipal Corporation &amp; Municipality</t>
  </si>
  <si>
    <t>Name of district headquarters</t>
  </si>
  <si>
    <t xml:space="preserve">Metialihat </t>
  </si>
  <si>
    <t>Joygaon</t>
  </si>
  <si>
    <t>No. of unreserved constituencies</t>
  </si>
  <si>
    <t>(1) Collectorate (Election Deptt.), Jalpaiguri</t>
  </si>
  <si>
    <t>(3) Dist. Panchayat &amp; Rural Dev. Office, Jalpaiguri</t>
  </si>
  <si>
    <t>(2) Collectorate (L.S.G. Cell), Jalpaiguri</t>
  </si>
  <si>
    <t>Literacy Rate by sex in rural and urban areas</t>
  </si>
  <si>
    <t>Educational Institutions :</t>
  </si>
  <si>
    <t>Higher Secondary School</t>
  </si>
  <si>
    <t>General College</t>
  </si>
  <si>
    <t>University(Gen. &amp; Tech.)</t>
  </si>
  <si>
    <t>Literacy Rate :</t>
  </si>
  <si>
    <t>Total Revenue Receipt</t>
  </si>
  <si>
    <t>Max</t>
  </si>
  <si>
    <t>Min</t>
  </si>
  <si>
    <t>Visual</t>
  </si>
  <si>
    <t>Speech</t>
  </si>
  <si>
    <t>Hearing</t>
  </si>
  <si>
    <t>Locomotor</t>
  </si>
  <si>
    <t>(Per cent)</t>
  </si>
  <si>
    <t>Population served
 per Bank office 
(Commercial &amp; Gramin)*
 (No. in '000)</t>
  </si>
  <si>
    <t>* As per Census 2011 Population</t>
  </si>
  <si>
    <t>Area 
( Sq. Km.)
(2001)</t>
  </si>
  <si>
    <t>Kg. per hect.</t>
  </si>
  <si>
    <t>Sq. Km.</t>
  </si>
  <si>
    <t>per sq. km.</t>
  </si>
  <si>
    <t>P.C. of population to
 district population</t>
  </si>
  <si>
    <t>Alipurduar Rly. Jun.</t>
  </si>
  <si>
    <t>P.C. of Col.(4) to respective total population</t>
  </si>
  <si>
    <t>P.C. of Col.(9) to respective total workers</t>
  </si>
  <si>
    <t>Religious Community</t>
  </si>
  <si>
    <t>P.C. to total population of the district</t>
  </si>
  <si>
    <t>Super / Director of the respective
(L.S.G./Private) Hospitals</t>
  </si>
  <si>
    <t xml:space="preserve">Total Deliveries performed </t>
  </si>
  <si>
    <t>(a) General Stream(Including independent H.S. School)</t>
  </si>
  <si>
    <t>(b) Vocational Stream(Including independent H.S. School)</t>
  </si>
  <si>
    <t>(d) Industrial Training Centre (ITC)</t>
  </si>
  <si>
    <t>District Social Welfare Officer, Jalpaiguri</t>
  </si>
  <si>
    <t>District Mass Education Extension Officer, Jalpaiguri</t>
  </si>
  <si>
    <t>District Programme Officer (ICDS), Jalpaiguri</t>
  </si>
  <si>
    <t>District Social Education Officer, Jalpaiguri</t>
  </si>
  <si>
    <t>Head of each Centre of Rabindra Mukta Vidyalaya</t>
  </si>
  <si>
    <t>All other Commercial &amp; Vocational Institutions 
(Affiliated to W.B. State Council of Technical Education)</t>
  </si>
  <si>
    <t>Professional &amp; Technical School, College &amp; University</t>
  </si>
  <si>
    <t>Year (as on
 31st March)</t>
  </si>
  <si>
    <t>Average size of holdings (Hect.)</t>
  </si>
  <si>
    <t>Area of land 
distributed 
(Hectare)</t>
  </si>
  <si>
    <t>Number of Beneficiaries</t>
  </si>
  <si>
    <t>Total land under
 cultivation (Hect.)</t>
  </si>
  <si>
    <t>No. of
 Tea Garden</t>
  </si>
  <si>
    <t>Misc. Flower</t>
  </si>
  <si>
    <t>Rs. in ' 000</t>
  </si>
  <si>
    <t>Govt. Canal</t>
  </si>
  <si>
    <t xml:space="preserve">Exe. Engineer (Agri Mech.), Jalpaiguri </t>
  </si>
  <si>
    <t>Exe. Engineer (Agri. Irrigation), Jalpaiguri</t>
  </si>
  <si>
    <t>2) Dy. Director of Agriculture (Admin.), Jalpaiguri</t>
  </si>
  <si>
    <t>Dy. Director of Agriculture (Admin.), Jalpaiguri</t>
  </si>
  <si>
    <t>Veterinary Personnel</t>
  </si>
  <si>
    <t>AIC (Incl. Pranibandhu &amp; Co-operatives)</t>
  </si>
  <si>
    <t>Type of Society / Year</t>
  </si>
  <si>
    <t>Loans due from individuals &amp; other societies (Rs. in thousand)</t>
  </si>
  <si>
    <t>Loans repayment by individuals &amp; other societies (Rs. in thousand)</t>
  </si>
  <si>
    <t>Deposits
(Rs. in Crore)</t>
  </si>
  <si>
    <t>Advances
(Rs. in Crore)</t>
  </si>
  <si>
    <t>P.C. of advances to deposits</t>
  </si>
  <si>
    <t>No. of offices</t>
  </si>
  <si>
    <t>Sum assured 
(Rs. in Crore)</t>
  </si>
  <si>
    <t>Amount of loan 
(Rs. in thousand)</t>
  </si>
  <si>
    <t>Source : Divisional Office, L.I.C., Jalpaiguri</t>
  </si>
  <si>
    <t xml:space="preserve">Sub-Division /
C.D.Block </t>
  </si>
  <si>
    <t>Sr. Engr. &amp; Project Manager, 
R.E. Project, W.B.S.E.D.C.L., Jalpaiguri</t>
  </si>
  <si>
    <t>No. of factories</t>
  </si>
  <si>
    <t>No. of 
Employees</t>
  </si>
  <si>
    <t>Hired Workers</t>
  </si>
  <si>
    <t>Statutory
 Ration Shop</t>
  </si>
  <si>
    <t>Modified 
Ration Shop</t>
  </si>
  <si>
    <t xml:space="preserve">No. of 
Vehicles </t>
  </si>
  <si>
    <t>No. of Tourists
 staying in
 Tourist Lodges</t>
  </si>
  <si>
    <t>D.F.O.s, Jalpaiguri, Wildlife-II &amp; III Divisions</t>
  </si>
  <si>
    <t xml:space="preserve">Managers, Malbazar Tourist Lodge &amp; </t>
  </si>
  <si>
    <t>Persons Acquitted</t>
  </si>
  <si>
    <t>S.D.P.O.</t>
  </si>
  <si>
    <t>Inspector</t>
  </si>
  <si>
    <t>Sub-Inspector</t>
  </si>
  <si>
    <t>J.C.O.</t>
  </si>
  <si>
    <t>Naik</t>
  </si>
  <si>
    <t xml:space="preserve">- </t>
  </si>
  <si>
    <t>Sub-divisions</t>
  </si>
  <si>
    <t>Blocks</t>
  </si>
  <si>
    <t>Yield rate of  Rice</t>
  </si>
  <si>
    <t>Sub-centres</t>
  </si>
  <si>
    <t>Density of Population</t>
  </si>
  <si>
    <t>(2011)</t>
  </si>
  <si>
    <t xml:space="preserve">Census of India, 2001 &amp; 2011 </t>
  </si>
  <si>
    <t>Public Libraries, Reading Rooms and Mass Literacy Centres</t>
  </si>
  <si>
    <t>Classification of Land Utilization Statistics</t>
  </si>
  <si>
    <t>Area of Vested Agricultural Land distributed &amp; Number of Beneficiaries</t>
  </si>
  <si>
    <t>General Educational Institutions by type</t>
  </si>
  <si>
    <t>Professional &amp; Technical Educational Institutions by type</t>
  </si>
  <si>
    <t xml:space="preserve">Special &amp; Non-formal Educational Institutions by type </t>
  </si>
  <si>
    <t>Area &amp; Production of Fruits and Vegetables</t>
  </si>
  <si>
    <t>Classification of Forest Area,Out-turn of Forest Produce, Revenue &amp; Expenditure</t>
  </si>
  <si>
    <t>Veterinary Hospitals, Veterinary Personnel &amp; Cases treated</t>
  </si>
  <si>
    <t>Length of Roads maintained by P.W.D., Zilla Parishad &amp; Panchayat</t>
  </si>
  <si>
    <t>Distribution of Population by sex in different towns</t>
  </si>
  <si>
    <t>Distribution of Operational Holdings over size-classes</t>
  </si>
  <si>
    <t>Micro &amp; Small Scale Enterprises with corresponding Employment</t>
  </si>
  <si>
    <t xml:space="preserve">Consumption of Electricity by different sectors </t>
  </si>
  <si>
    <t>Production in Sericulture Industry</t>
  </si>
  <si>
    <t>Employment in Registered Factories &amp; State Government Offices</t>
  </si>
  <si>
    <t xml:space="preserve">Registration and Placement effected by Employment Exchanges </t>
  </si>
  <si>
    <t>Family Welfare Centres</t>
  </si>
  <si>
    <t xml:space="preserve">Population by religion &amp; by sex </t>
  </si>
  <si>
    <t xml:space="preserve">Teachers in different type of Professional &amp; Technical Educational Institutions </t>
  </si>
  <si>
    <t xml:space="preserve">Co-operative Societies in the Blocks </t>
  </si>
  <si>
    <t>Growth of Population by sex</t>
  </si>
  <si>
    <t>Distribution of Population by sex &amp; by age group, 2001</t>
  </si>
  <si>
    <t>Distribution of Population over different categories of workers and non-workers by sex</t>
  </si>
  <si>
    <t>Disabled Persons by type of disability &amp; by sex</t>
  </si>
  <si>
    <t>Medical Facilities</t>
  </si>
  <si>
    <t>Area under Principal Crops</t>
  </si>
  <si>
    <t>Production of Principal Crops</t>
  </si>
  <si>
    <t>Yield rates of Principal Crops</t>
  </si>
  <si>
    <t>Yield rates of some Selected Crops</t>
  </si>
  <si>
    <t>Other 
Taxes</t>
  </si>
  <si>
    <t>No. of mouzas having drinking water facilities</t>
  </si>
  <si>
    <t>2) District Controller, Food &amp; Supply, Jalpaiguri</t>
  </si>
  <si>
    <t>1) Dy. Director of Agriculture (Admin.), Jalpaiguri</t>
  </si>
  <si>
    <t>Exe. Engr. (Agri. Mech.), Jalpaiguri</t>
  </si>
  <si>
    <t>Exe. Engr. (Agri. Irri.), Jalpaiguri</t>
  </si>
  <si>
    <t>* Part of Siliguri M.C. belongs to Jalpaiguri district</t>
  </si>
  <si>
    <t>Dy. Director of Agriculture (Admin.),</t>
  </si>
  <si>
    <t>Exe. Engr., W.B.S.R.D.A., Jalpaiguri Divn.</t>
  </si>
  <si>
    <t>All Block Development Officers,</t>
  </si>
  <si>
    <t>Agri-
cultural</t>
  </si>
  <si>
    <t>Area Irrigated by different sources</t>
  </si>
  <si>
    <t>Sources of Irrigation</t>
  </si>
  <si>
    <t xml:space="preserve">Fertilizer Consumed  </t>
  </si>
  <si>
    <t>Estimated Production of Milk and Egg</t>
  </si>
  <si>
    <t>Progress of Co-operative Movement</t>
  </si>
  <si>
    <t>Mouzas Electrified</t>
  </si>
  <si>
    <t>Distribution of Rural &amp; Urban Population by sex, 2001</t>
  </si>
  <si>
    <t>Area, Population and Density of Population</t>
  </si>
  <si>
    <t>Live-stock and Poultry</t>
  </si>
  <si>
    <t>Selected Characteristics of Factories by industry group</t>
  </si>
  <si>
    <t>Number of Establishments in rural and urban areas</t>
  </si>
  <si>
    <t>Number of Persons usually working in rural and urban Establishments</t>
  </si>
  <si>
    <t>Health &amp; Family Welfare Deptt., Govt. of W.B.</t>
  </si>
  <si>
    <t>Applicants on the Live-register of Employment Exchanges</t>
  </si>
  <si>
    <t>Percentage of Hired Workers &amp; Females employed in Non-agricultural Establishments</t>
  </si>
  <si>
    <t>Wholesale Prices of Agricultural Commodities, Live-stock &amp; Live-stock Products</t>
  </si>
  <si>
    <t>Regulated Market by category</t>
  </si>
  <si>
    <t>Consumer Price Index Numbers for Families of all Expenditure Groups Combined</t>
  </si>
  <si>
    <t>Consumer Price Index Numbers for Industrial Workers</t>
  </si>
  <si>
    <t>Length of different classes of Roads maintained by P.W.D.</t>
  </si>
  <si>
    <t>Accidents on Roads</t>
  </si>
  <si>
    <t>Offences reported, Cases tried, Persons convicted and acquitted</t>
  </si>
  <si>
    <t xml:space="preserve">Net Collection from Small Savings </t>
  </si>
  <si>
    <t>Some Basic Statistics about the Blocks</t>
  </si>
  <si>
    <t>Registered Motor Vehicles</t>
  </si>
  <si>
    <t>Persons Engaged in Agriculture in the Blocks</t>
  </si>
  <si>
    <t>Particulars of Fisheries in the Blocks</t>
  </si>
  <si>
    <t>Length of Roads maintained by different agencies in the Blocks</t>
  </si>
  <si>
    <t>Transport Facilities in the Blocks</t>
  </si>
  <si>
    <t xml:space="preserve">Births &amp; Deaths in different Hospitals &amp; Health Centres </t>
  </si>
  <si>
    <t>Patients treated in Hospitals, Health Centres &amp; Sub-centres</t>
  </si>
  <si>
    <t>Scheduled Caste and Scheduled Tribe Population by sex</t>
  </si>
  <si>
    <t>Population, Receipt and Expenditure of Municipalities</t>
  </si>
  <si>
    <t>Name of Zilla Parishad</t>
  </si>
  <si>
    <t>Date of Establishment</t>
  </si>
  <si>
    <t>Land Revenue</t>
  </si>
  <si>
    <t>Stamp Revenue &amp; Registration Fees</t>
  </si>
  <si>
    <t>Excise Revenue</t>
  </si>
  <si>
    <t>Taxes on Vehicles</t>
  </si>
  <si>
    <t>Electricity Duty</t>
  </si>
  <si>
    <t>Entertain-
ment Tax</t>
  </si>
  <si>
    <t>Profes-
sional Tax</t>
  </si>
  <si>
    <t>Culturable waste land</t>
  </si>
  <si>
    <t>Hospitals, Health Centres etc.</t>
  </si>
  <si>
    <t>per cent</t>
  </si>
  <si>
    <t>Commodity</t>
  </si>
  <si>
    <t>Market</t>
  </si>
  <si>
    <t>Principal Market Yard</t>
  </si>
  <si>
    <t xml:space="preserve">Month </t>
  </si>
  <si>
    <t>Annual average</t>
  </si>
  <si>
    <t>(Kilometre)</t>
  </si>
  <si>
    <t>P.W.D.</t>
  </si>
  <si>
    <t>Zilla Parishad</t>
  </si>
  <si>
    <t>Gram Panchayat &amp; Panchayat Samity</t>
  </si>
  <si>
    <t>National Highways</t>
  </si>
  <si>
    <t>State Highways</t>
  </si>
  <si>
    <t>District Roads</t>
  </si>
  <si>
    <t>No. of 
Trips conducted</t>
  </si>
  <si>
    <t>Sl
No.</t>
  </si>
  <si>
    <t>Madarihat-
Birpara</t>
  </si>
  <si>
    <t>Popu-
lation</t>
  </si>
  <si>
    <t>Village Roads</t>
  </si>
  <si>
    <t>Year (as on 31st March)</t>
  </si>
  <si>
    <t>Goods Vehicles</t>
  </si>
  <si>
    <t>Tamarind(Deshi)</t>
  </si>
  <si>
    <t>Recipients
 (No.)</t>
  </si>
  <si>
    <t>Recipients 
(No.)</t>
  </si>
  <si>
    <t>Motor car
 &amp; Jeep</t>
  </si>
  <si>
    <t>Motor cycle &amp; Scooter</t>
  </si>
  <si>
    <t>Taxi &amp; Contract Carriage</t>
  </si>
  <si>
    <t>Auto Rickshaw</t>
  </si>
  <si>
    <t>(d) "Metropolitan" includes all centres with population over 10 lakhs</t>
  </si>
  <si>
    <t>a) working factories</t>
  </si>
  <si>
    <t>b) average daily employment</t>
  </si>
  <si>
    <t>Commercial</t>
  </si>
  <si>
    <t>Source : Superintendent of Police, Jalpaiguri</t>
  </si>
  <si>
    <t>(Thousand hectares)</t>
  </si>
  <si>
    <t>(Thousand tonnes)</t>
  </si>
  <si>
    <t>Value of production (Thousand rupees)</t>
  </si>
  <si>
    <t>(Thousand rupees)</t>
  </si>
  <si>
    <t>Forest owned by civil authorities</t>
  </si>
  <si>
    <t>Prod. = Production</t>
  </si>
  <si>
    <t>Pradhan Mantri
Gram Sadak Yojana</t>
  </si>
  <si>
    <t>(23)</t>
  </si>
  <si>
    <t>(24)</t>
  </si>
  <si>
    <t>(25)</t>
  </si>
  <si>
    <t>(26)</t>
  </si>
  <si>
    <t>(27)</t>
  </si>
  <si>
    <t>(28)</t>
  </si>
  <si>
    <t>(29)</t>
  </si>
  <si>
    <t>(30)</t>
  </si>
  <si>
    <t>(31)</t>
  </si>
  <si>
    <t>(32)</t>
  </si>
  <si>
    <t>(33)</t>
  </si>
  <si>
    <t>(34)</t>
  </si>
  <si>
    <t>(35)</t>
  </si>
  <si>
    <t>TABLE 1.2</t>
  </si>
  <si>
    <t>TABLE 1.1</t>
  </si>
  <si>
    <t>TABLE 1.4</t>
  </si>
  <si>
    <t>TABLE 1.3</t>
  </si>
  <si>
    <t>N.G.O. / Private Bodies (Nursing Homes)</t>
  </si>
  <si>
    <t>(36)</t>
  </si>
  <si>
    <t>(38)</t>
  </si>
  <si>
    <t>(37)</t>
  </si>
  <si>
    <t>(39)</t>
  </si>
  <si>
    <t>(40)</t>
  </si>
  <si>
    <t>(41)</t>
  </si>
  <si>
    <t>(42)</t>
  </si>
  <si>
    <t>(43)</t>
  </si>
  <si>
    <t>(44)</t>
  </si>
  <si>
    <t>Mini Bus</t>
  </si>
  <si>
    <t>Stage Carriage</t>
  </si>
  <si>
    <t>Mental Illness</t>
  </si>
  <si>
    <t>Mental Retarded</t>
  </si>
  <si>
    <t>Multiple Disability</t>
  </si>
  <si>
    <t>Other Disability</t>
  </si>
  <si>
    <t>Matiali</t>
  </si>
  <si>
    <t>Census of India, 2011</t>
  </si>
  <si>
    <t>Population (2011)</t>
  </si>
  <si>
    <t>District Total  2011</t>
  </si>
  <si>
    <t>District Headquarters</t>
  </si>
  <si>
    <t>Note : Under the schemes NOAPS (National Old Age Pension
           Scheme), NFBS (National Family Benefit Scheme) etc.</t>
  </si>
  <si>
    <t>Production
( ' 000 Kg.)</t>
  </si>
  <si>
    <t xml:space="preserve"> ' 000 hectares</t>
  </si>
  <si>
    <t>* As per Census Population 2011</t>
  </si>
  <si>
    <t>Distribution of Rural &amp; Urban Population by sex, 2011</t>
  </si>
  <si>
    <t>Distribution of Population by sex &amp; by age group, 2011</t>
  </si>
  <si>
    <t>No. of persons injured</t>
  </si>
  <si>
    <t>Post Office</t>
  </si>
  <si>
    <t xml:space="preserve">          BCG = Bacillus Calmette Guerin</t>
  </si>
  <si>
    <t>Telegraph Office</t>
  </si>
  <si>
    <t>Combined Office</t>
  </si>
  <si>
    <t>Source : Post Master General, West Bengal Circle</t>
  </si>
  <si>
    <t>Rapeseed
 &amp; Mustard</t>
  </si>
  <si>
    <t>Name of Block</t>
  </si>
  <si>
    <t>2.1(b)</t>
  </si>
  <si>
    <t xml:space="preserve">        (Number)</t>
  </si>
  <si>
    <t>Sl.</t>
  </si>
  <si>
    <t>Bargadars</t>
  </si>
  <si>
    <t>Patta</t>
  </si>
  <si>
    <t>holders</t>
  </si>
  <si>
    <t>TECHNICAL SCHOOLS</t>
  </si>
  <si>
    <t>TECHNICAL COLLEGES</t>
  </si>
  <si>
    <t>TECHNICAL UNIVERSITIES</t>
  </si>
  <si>
    <t>District Total</t>
  </si>
  <si>
    <t>District total</t>
  </si>
  <si>
    <t>Sl. No</t>
  </si>
  <si>
    <t>Maskalai</t>
  </si>
  <si>
    <t>Mustard</t>
  </si>
  <si>
    <t>Linseed</t>
  </si>
  <si>
    <t>Prod.</t>
  </si>
  <si>
    <t>Yield</t>
  </si>
  <si>
    <t>Prod.*</t>
  </si>
  <si>
    <t>Yield**</t>
  </si>
  <si>
    <t>Canal</t>
  </si>
  <si>
    <t>Area</t>
  </si>
  <si>
    <t xml:space="preserve"> </t>
  </si>
  <si>
    <t>Cattle</t>
  </si>
  <si>
    <t>Buffaloes</t>
  </si>
  <si>
    <t>Poultry Birds</t>
  </si>
  <si>
    <t>No. of persons employed in</t>
  </si>
  <si>
    <t>Factory</t>
  </si>
  <si>
    <t>Plantation</t>
  </si>
  <si>
    <t>Number of Bank offices</t>
  </si>
  <si>
    <t>5.3(f)</t>
  </si>
  <si>
    <t>Agricultural Credit Societies</t>
  </si>
  <si>
    <t>Non-Agricultural Credit Societies</t>
  </si>
  <si>
    <t>Unsurfaced</t>
  </si>
  <si>
    <t>District:-</t>
  </si>
  <si>
    <t>Contents</t>
  </si>
  <si>
    <t>GENERAL UNIVERSITIES (excluding 
completely Technical Universities)</t>
  </si>
  <si>
    <t>(a) Pre-primary &amp; Primary Teachers'
Training Institutes (PTTI)</t>
  </si>
  <si>
    <t>Free Reading
 Room</t>
  </si>
  <si>
    <t>Number of 
Cinema House</t>
  </si>
  <si>
    <t xml:space="preserve">       The present issue of the District Statistical Handbook seeks to provide statistical information on various socio-economic aspects of the district in a compact form. Attempts have been made to incorporate up-to-date information so that continuity of the time series of the data published in earlier issues is maintained. Data at the Block level have also been incorporated as far as available, so that those could be effectively used by planners, policymakers and researchers.
       I express my gratitude to the different offices situated in the district for active co-operation received from their end in timely supply of data. I like to put in my appreciation to the officials of the Handbook, Co-ordination &amp; Nucleus (Compilation) units of the Head Office and  District  office of the Bureau of Applied Economics &amp; Statistics for their sincere and sustained effort in bringing out the publication.
      Suggestions for any improvement of the publication will be highly appreciated. </t>
  </si>
  <si>
    <t>Sl.
No.</t>
  </si>
  <si>
    <t>Land under misc. tree groves not included in Net area sown</t>
  </si>
  <si>
    <t>District Total- 3</t>
  </si>
  <si>
    <t>Number of</t>
  </si>
  <si>
    <t>* Irrigation suffered due to severe drought situation</t>
  </si>
  <si>
    <t xml:space="preserve">Mulberry
 (MT)
</t>
  </si>
  <si>
    <t xml:space="preserve">Mulberry </t>
  </si>
  <si>
    <t xml:space="preserve">Muga </t>
  </si>
  <si>
    <t>TABLE 8.3 (Concld.)</t>
  </si>
  <si>
    <t>Population 
(Number)</t>
  </si>
  <si>
    <t>Density of Population 
( per Sq. Km.)</t>
  </si>
  <si>
    <t>' 000 cu. metre</t>
  </si>
  <si>
    <t>Social Welfare Homes under M.E.E. Deptt.</t>
  </si>
  <si>
    <t>* Included in "Others"</t>
  </si>
  <si>
    <t>Working capital (Rs. in thousand)</t>
  </si>
  <si>
    <t>Urban Population</t>
  </si>
  <si>
    <t>Total Workers(TW)</t>
  </si>
  <si>
    <t>Items</t>
  </si>
  <si>
    <t>Price as on February (in Rs.)</t>
  </si>
  <si>
    <t>Source : Labour Bureau, Govt. of India</t>
  </si>
  <si>
    <t>Upto 5 years</t>
  </si>
  <si>
    <t>Above 5 years</t>
  </si>
  <si>
    <t>Sl.  No.</t>
  </si>
  <si>
    <t>2.1(a)</t>
  </si>
  <si>
    <t>2.4(a)</t>
  </si>
  <si>
    <t>2.4(b)</t>
  </si>
  <si>
    <t>2.5(a)</t>
  </si>
  <si>
    <t>2.5(b)</t>
  </si>
  <si>
    <t>Hindu</t>
  </si>
  <si>
    <t>Muslim</t>
  </si>
  <si>
    <t>Christian</t>
  </si>
  <si>
    <t>Sikh</t>
  </si>
  <si>
    <t>Buddhist</t>
  </si>
  <si>
    <t>Jain</t>
  </si>
  <si>
    <t>2.10(a)</t>
  </si>
  <si>
    <t>3.2(a)</t>
  </si>
  <si>
    <t>1.2</t>
  </si>
  <si>
    <t>1.1</t>
  </si>
  <si>
    <t>1.3</t>
  </si>
  <si>
    <t>1.4</t>
  </si>
  <si>
    <t>2.1</t>
  </si>
  <si>
    <t>2.2</t>
  </si>
  <si>
    <t>2.3</t>
  </si>
  <si>
    <t>2.6</t>
  </si>
  <si>
    <t>2.7</t>
  </si>
  <si>
    <t>2.8</t>
  </si>
  <si>
    <t>2.9</t>
  </si>
  <si>
    <t>2.10</t>
  </si>
  <si>
    <t>2.11</t>
  </si>
  <si>
    <t>3.1</t>
  </si>
  <si>
    <t>3.2</t>
  </si>
  <si>
    <t>3.3</t>
  </si>
  <si>
    <t>4.4</t>
  </si>
  <si>
    <t>4.5</t>
  </si>
  <si>
    <t>4.6</t>
  </si>
  <si>
    <t>4.7</t>
  </si>
  <si>
    <t>4.8</t>
  </si>
  <si>
    <t>5.1(a)</t>
  </si>
  <si>
    <t>5.1(b)</t>
  </si>
  <si>
    <t>GENERAL RECOGNIZED SCHOOLS</t>
  </si>
  <si>
    <t>GENERAL DEGREE COLLEGES</t>
  </si>
  <si>
    <t>N.B.: Figs. inside bracket indicate no. of 
         cinema houses closed</t>
  </si>
  <si>
    <t xml:space="preserve">Niger </t>
  </si>
  <si>
    <t>Average population per office* (in thousand)</t>
  </si>
  <si>
    <r>
      <t>26</t>
    </r>
    <r>
      <rPr>
        <vertAlign val="superscript"/>
        <sz val="10"/>
        <rFont val="Arial"/>
        <family val="2"/>
      </rPr>
      <t>#</t>
    </r>
  </si>
  <si>
    <t>30.09.2010</t>
  </si>
  <si>
    <t>30.09.2011</t>
  </si>
  <si>
    <t>30.09.2012</t>
  </si>
  <si>
    <t>30.06.2013</t>
  </si>
  <si>
    <t>31.03.2014</t>
  </si>
  <si>
    <t>Source : Economic Census, 2005 &amp; 2013</t>
  </si>
  <si>
    <t>*Figure of Sakshar Bharat mission under T.L.C.</t>
  </si>
  <si>
    <r>
      <rPr>
        <b/>
        <sz val="9"/>
        <color rgb="FFFF00FF"/>
        <rFont val="Arial"/>
        <family val="2"/>
      </rPr>
      <t>N.B.:</t>
    </r>
    <r>
      <rPr>
        <sz val="9"/>
        <color rgb="FFFF00FF"/>
        <rFont val="Arial"/>
        <family val="2"/>
      </rPr>
      <t xml:space="preserve"> For Live-stock Census 2012, Other Live-stock covers Mules, Donkeys, Camels, Mithun and Yak</t>
    </r>
  </si>
  <si>
    <t>209.7(E)</t>
  </si>
  <si>
    <t>640 (P)</t>
  </si>
  <si>
    <t>35476 (P)</t>
  </si>
  <si>
    <t xml:space="preserve">
Employment in 
State Government Offices
(As on 31st January)</t>
  </si>
  <si>
    <t>Tapas Kumar Debnath</t>
  </si>
  <si>
    <t>As on 31.01.2014.</t>
  </si>
  <si>
    <t>I. LOCATION, RAINFALL AND CLIMATE (4 tables)</t>
  </si>
  <si>
    <t>II. AREA AND POPULATION (16 Tables)</t>
  </si>
  <si>
    <t>III. PUBLIC HEALTH (5 Tables)</t>
  </si>
  <si>
    <t>IV. EDUCATION AND CULTURE (14 Tables)</t>
  </si>
  <si>
    <t>V. AGRICULTURE &amp; ALLIED SECTORS (17 Tables)</t>
  </si>
  <si>
    <t>VI. LIVE-STOCK (2 Tables)</t>
  </si>
  <si>
    <t>VII. CO-OPERATIVE, BANKING &amp; INSURANCE (3 Tables)</t>
  </si>
  <si>
    <t>VIII. INDUSTRY (5 Tables)</t>
  </si>
  <si>
    <t>IX. EMPLOYMENT AND LABOUR (4 Tables)</t>
  </si>
  <si>
    <t>X. EMPLOYMENT EXCHANGE AND SOCIAL SERVICE (3 Tables)</t>
  </si>
  <si>
    <t>XI. PRICE (5 Tables)</t>
  </si>
  <si>
    <t>XII. TRANSPORT AND COMMUNICATION (7 Tables)</t>
  </si>
  <si>
    <t>XIII. JUDICIAL AND POLICE (3 Tables)</t>
  </si>
  <si>
    <t>XIV. LOCAL-BODIES (2 Tables)</t>
  </si>
  <si>
    <t>XV. FINANCE (2 Tables)</t>
  </si>
  <si>
    <t>BLOCK LEVEL STATISTICS (11 Tables)</t>
  </si>
  <si>
    <t>10</t>
  </si>
  <si>
    <t>11</t>
  </si>
  <si>
    <t>12</t>
  </si>
  <si>
    <t>13</t>
  </si>
  <si>
    <t>14</t>
  </si>
  <si>
    <t>15</t>
  </si>
  <si>
    <t>16</t>
  </si>
  <si>
    <t>17</t>
  </si>
  <si>
    <t>18</t>
  </si>
  <si>
    <t>19</t>
  </si>
  <si>
    <t>20</t>
  </si>
  <si>
    <t>22</t>
  </si>
  <si>
    <t>23</t>
  </si>
  <si>
    <t>24</t>
  </si>
  <si>
    <t>25</t>
  </si>
  <si>
    <t>28</t>
  </si>
  <si>
    <t>29</t>
  </si>
  <si>
    <t>31</t>
  </si>
  <si>
    <t>45</t>
  </si>
  <si>
    <t>52</t>
  </si>
  <si>
    <t>58</t>
  </si>
  <si>
    <t>95</t>
  </si>
  <si>
    <t>Selected Characteristics of Factories by industry group  in the district of Jalpaiguri for the year 2011-12</t>
  </si>
  <si>
    <t>94.4(E)</t>
  </si>
  <si>
    <t>Mass Literacy Centre      (Continuing Education Programme)*</t>
  </si>
  <si>
    <t>31.12.2014</t>
  </si>
  <si>
    <t>193.1(E)</t>
  </si>
  <si>
    <t>2221(E)</t>
  </si>
  <si>
    <t>2046(E)**</t>
  </si>
  <si>
    <t>** Figure represents the yield rate of the entire district</t>
  </si>
  <si>
    <r>
      <t>9323</t>
    </r>
    <r>
      <rPr>
        <b/>
        <vertAlign val="superscript"/>
        <sz val="10"/>
        <color indexed="10"/>
        <rFont val="Arial"/>
        <family val="2"/>
      </rPr>
      <t>#</t>
    </r>
  </si>
  <si>
    <t># Revised due to revision of yield rate of tea</t>
  </si>
  <si>
    <t>2046(E)*</t>
  </si>
  <si>
    <t>* Figure represents the yield rate of the entire district</t>
  </si>
  <si>
    <t>Surfaced Road</t>
  </si>
  <si>
    <t>Unsurfaced Road</t>
  </si>
  <si>
    <t xml:space="preserve">             Source : P.W.(Roads) Directorate (Head Quarter), Govt. of W.B.</t>
  </si>
  <si>
    <t>The 23rd June, 2016</t>
  </si>
</sst>
</file>

<file path=xl/styles.xml><?xml version="1.0" encoding="utf-8"?>
<styleSheet xmlns="http://schemas.openxmlformats.org/spreadsheetml/2006/main">
  <numFmts count="4">
    <numFmt numFmtId="43" formatCode="_(* #,##0.00_);_(* \(#,##0.00\);_(* &quot;-&quot;??_);_(@_)"/>
    <numFmt numFmtId="164" formatCode="0.0"/>
    <numFmt numFmtId="165" formatCode="0.000"/>
    <numFmt numFmtId="166" formatCode="0.00;[Red]0.00"/>
  </numFmts>
  <fonts count="165">
    <font>
      <sz val="10"/>
      <name val="Arial"/>
    </font>
    <font>
      <sz val="10"/>
      <name val="Arial"/>
      <family val="2"/>
    </font>
    <font>
      <b/>
      <sz val="10"/>
      <name val="Arial"/>
      <family val="2"/>
    </font>
    <font>
      <sz val="10"/>
      <name val="Arial"/>
      <family val="2"/>
    </font>
    <font>
      <u/>
      <sz val="10"/>
      <color indexed="12"/>
      <name val="Arial"/>
      <family val="2"/>
    </font>
    <font>
      <b/>
      <sz val="10"/>
      <name val="Arial Narrow"/>
      <family val="2"/>
    </font>
    <font>
      <sz val="10"/>
      <name val="Arial Narrow"/>
      <family val="2"/>
    </font>
    <font>
      <sz val="9"/>
      <name val="Arial Narrow"/>
      <family val="2"/>
    </font>
    <font>
      <sz val="9"/>
      <name val="Arial"/>
      <family val="2"/>
    </font>
    <font>
      <sz val="9"/>
      <name val="Arial"/>
      <family val="2"/>
    </font>
    <font>
      <b/>
      <i/>
      <sz val="14"/>
      <color indexed="62"/>
      <name val="Lucida Handwriting"/>
      <family val="4"/>
    </font>
    <font>
      <b/>
      <sz val="10"/>
      <color indexed="57"/>
      <name val="Arial"/>
      <family val="2"/>
    </font>
    <font>
      <sz val="10"/>
      <color indexed="46"/>
      <name val="Arial"/>
      <family val="2"/>
    </font>
    <font>
      <b/>
      <sz val="10"/>
      <color indexed="18"/>
      <name val="Arial"/>
      <family val="2"/>
    </font>
    <font>
      <sz val="10"/>
      <color indexed="48"/>
      <name val="Arial"/>
      <family val="2"/>
    </font>
    <font>
      <b/>
      <sz val="10"/>
      <color indexed="14"/>
      <name val="Arial"/>
      <family val="2"/>
    </font>
    <font>
      <sz val="10"/>
      <color indexed="10"/>
      <name val="Arial"/>
      <family val="2"/>
    </font>
    <font>
      <sz val="10"/>
      <color indexed="17"/>
      <name val="Arial"/>
      <family val="2"/>
    </font>
    <font>
      <b/>
      <sz val="14"/>
      <name val="Arial"/>
      <family val="2"/>
    </font>
    <font>
      <sz val="18"/>
      <color indexed="53"/>
      <name val="Times New Roman"/>
      <family val="1"/>
    </font>
    <font>
      <sz val="12"/>
      <color indexed="17"/>
      <name val="Times New Roman"/>
      <family val="1"/>
    </font>
    <font>
      <b/>
      <sz val="10"/>
      <color indexed="12"/>
      <name val="Arial"/>
      <family val="2"/>
    </font>
    <font>
      <sz val="10"/>
      <color indexed="53"/>
      <name val="Arial"/>
      <family val="2"/>
    </font>
    <font>
      <b/>
      <sz val="10"/>
      <color indexed="61"/>
      <name val="Arial"/>
      <family val="2"/>
    </font>
    <font>
      <sz val="10"/>
      <color indexed="14"/>
      <name val="Arial"/>
      <family val="2"/>
    </font>
    <font>
      <sz val="10"/>
      <color indexed="19"/>
      <name val="Arial"/>
      <family val="2"/>
    </font>
    <font>
      <sz val="10"/>
      <color indexed="12"/>
      <name val="Arial"/>
      <family val="2"/>
    </font>
    <font>
      <sz val="10"/>
      <color indexed="12"/>
      <name val="Arial Narrow"/>
      <family val="2"/>
    </font>
    <font>
      <sz val="9"/>
      <color indexed="12"/>
      <name val="Arial"/>
      <family val="2"/>
    </font>
    <font>
      <sz val="10"/>
      <color indexed="12"/>
      <name val="Arial"/>
      <family val="2"/>
    </font>
    <font>
      <sz val="10"/>
      <color indexed="61"/>
      <name val="Arial"/>
      <family val="2"/>
    </font>
    <font>
      <b/>
      <u/>
      <sz val="12"/>
      <color indexed="61"/>
      <name val="Arial"/>
      <family val="2"/>
    </font>
    <font>
      <b/>
      <sz val="10"/>
      <color indexed="20"/>
      <name val="Arial"/>
      <family val="2"/>
    </font>
    <font>
      <b/>
      <sz val="10"/>
      <color indexed="10"/>
      <name val="Arial"/>
      <family val="2"/>
    </font>
    <font>
      <sz val="10"/>
      <color indexed="20"/>
      <name val="Arial"/>
      <family val="2"/>
    </font>
    <font>
      <sz val="10"/>
      <color indexed="14"/>
      <name val="Arial Narrow"/>
      <family val="2"/>
    </font>
    <font>
      <sz val="10"/>
      <color indexed="19"/>
      <name val="Arial Narrow"/>
      <family val="2"/>
    </font>
    <font>
      <sz val="8"/>
      <color indexed="19"/>
      <name val="Arial Narrow"/>
      <family val="2"/>
    </font>
    <font>
      <sz val="10"/>
      <color indexed="19"/>
      <name val="Arial"/>
      <family val="2"/>
    </font>
    <font>
      <sz val="9"/>
      <color indexed="19"/>
      <name val="Arial Narrow"/>
      <family val="2"/>
    </font>
    <font>
      <sz val="10"/>
      <color indexed="10"/>
      <name val="Arial Narrow"/>
      <family val="2"/>
    </font>
    <font>
      <sz val="10"/>
      <color indexed="48"/>
      <name val="Arial"/>
      <family val="2"/>
    </font>
    <font>
      <sz val="10"/>
      <color indexed="10"/>
      <name val="Arial"/>
      <family val="2"/>
    </font>
    <font>
      <sz val="10"/>
      <color indexed="48"/>
      <name val="Arial Narrow"/>
      <family val="2"/>
    </font>
    <font>
      <sz val="9"/>
      <color indexed="48"/>
      <name val="Arial"/>
      <family val="2"/>
    </font>
    <font>
      <b/>
      <sz val="10"/>
      <color indexed="53"/>
      <name val="Arial"/>
      <family val="2"/>
    </font>
    <font>
      <sz val="10"/>
      <color indexed="53"/>
      <name val="Arial"/>
      <family val="2"/>
    </font>
    <font>
      <b/>
      <sz val="10"/>
      <color indexed="48"/>
      <name val="Arial"/>
      <family val="2"/>
    </font>
    <font>
      <sz val="10"/>
      <color indexed="20"/>
      <name val="Arial Narrow"/>
      <family val="2"/>
    </font>
    <font>
      <sz val="10"/>
      <color indexed="20"/>
      <name val="Arial"/>
      <family val="2"/>
    </font>
    <font>
      <sz val="10"/>
      <color indexed="8"/>
      <name val="Arial"/>
      <family val="2"/>
    </font>
    <font>
      <b/>
      <sz val="10"/>
      <color indexed="10"/>
      <name val="Arial Narrow"/>
      <family val="2"/>
    </font>
    <font>
      <sz val="10"/>
      <color indexed="16"/>
      <name val="Arial"/>
      <family val="2"/>
    </font>
    <font>
      <b/>
      <sz val="10"/>
      <color indexed="16"/>
      <name val="Arial"/>
      <family val="2"/>
    </font>
    <font>
      <b/>
      <sz val="10"/>
      <color indexed="19"/>
      <name val="Arial"/>
      <family val="2"/>
    </font>
    <font>
      <b/>
      <sz val="28"/>
      <color indexed="17"/>
      <name val="Arial Narrow"/>
      <family val="2"/>
    </font>
    <font>
      <b/>
      <sz val="28"/>
      <color indexed="60"/>
      <name val="Arial"/>
      <family val="2"/>
    </font>
    <font>
      <b/>
      <sz val="36"/>
      <color indexed="10"/>
      <name val="Arial"/>
      <family val="2"/>
    </font>
    <font>
      <b/>
      <u/>
      <sz val="26"/>
      <color indexed="17"/>
      <name val="Monotype Corsiva"/>
      <family val="4"/>
    </font>
    <font>
      <b/>
      <u/>
      <sz val="20"/>
      <color indexed="17"/>
      <name val="Arial"/>
      <family val="2"/>
    </font>
    <font>
      <sz val="14"/>
      <color indexed="20"/>
      <name val="Monotype Corsiva"/>
      <family val="4"/>
    </font>
    <font>
      <sz val="10"/>
      <color indexed="17"/>
      <name val="Times New Roman"/>
      <family val="1"/>
    </font>
    <font>
      <sz val="10"/>
      <color indexed="60"/>
      <name val="Arial"/>
      <family val="2"/>
    </font>
    <font>
      <b/>
      <sz val="10"/>
      <color indexed="56"/>
      <name val="Arial"/>
      <family val="2"/>
    </font>
    <font>
      <sz val="9"/>
      <color indexed="17"/>
      <name val="Arial"/>
      <family val="2"/>
    </font>
    <font>
      <sz val="9"/>
      <color indexed="19"/>
      <name val="Arial"/>
      <family val="2"/>
    </font>
    <font>
      <b/>
      <sz val="11"/>
      <color indexed="61"/>
      <name val="Arial"/>
      <family val="2"/>
    </font>
    <font>
      <b/>
      <sz val="16"/>
      <color indexed="20"/>
      <name val="Arial"/>
      <family val="2"/>
    </font>
    <font>
      <sz val="9"/>
      <color indexed="14"/>
      <name val="Arial"/>
      <family val="2"/>
    </font>
    <font>
      <sz val="10"/>
      <color indexed="62"/>
      <name val="Arial"/>
      <family val="2"/>
    </font>
    <font>
      <sz val="10"/>
      <color indexed="56"/>
      <name val="Arial"/>
      <family val="2"/>
    </font>
    <font>
      <b/>
      <sz val="13"/>
      <color indexed="61"/>
      <name val="Times New Roman"/>
      <family val="1"/>
    </font>
    <font>
      <b/>
      <sz val="10"/>
      <color indexed="10"/>
      <name val="Arial"/>
      <family val="2"/>
    </font>
    <font>
      <sz val="13"/>
      <color indexed="61"/>
      <name val="Times New Roman"/>
      <family val="1"/>
    </font>
    <font>
      <b/>
      <sz val="13"/>
      <color indexed="20"/>
      <name val="Times New Roman"/>
      <family val="1"/>
    </font>
    <font>
      <b/>
      <sz val="13"/>
      <color indexed="12"/>
      <name val="Times New Roman"/>
      <family val="1"/>
    </font>
    <font>
      <b/>
      <u/>
      <sz val="9"/>
      <color indexed="10"/>
      <name val="Arial"/>
      <family val="2"/>
    </font>
    <font>
      <b/>
      <sz val="9"/>
      <color indexed="10"/>
      <name val="Arial"/>
      <family val="2"/>
    </font>
    <font>
      <b/>
      <u/>
      <sz val="10"/>
      <color indexed="10"/>
      <name val="Arial"/>
      <family val="2"/>
    </font>
    <font>
      <b/>
      <sz val="10"/>
      <color indexed="58"/>
      <name val="Arial"/>
      <family val="2"/>
    </font>
    <font>
      <sz val="9"/>
      <color indexed="10"/>
      <name val="Arial"/>
      <family val="2"/>
    </font>
    <font>
      <b/>
      <sz val="9"/>
      <color indexed="20"/>
      <name val="Arial Narrow"/>
      <family val="2"/>
    </font>
    <font>
      <sz val="10"/>
      <color indexed="9"/>
      <name val="Arial"/>
      <family val="2"/>
    </font>
    <font>
      <b/>
      <sz val="10"/>
      <color indexed="60"/>
      <name val="Arial"/>
      <family val="2"/>
    </font>
    <font>
      <b/>
      <sz val="13"/>
      <color indexed="14"/>
      <name val="Times New Roman"/>
      <family val="1"/>
    </font>
    <font>
      <b/>
      <sz val="10"/>
      <color indexed="17"/>
      <name val="Arial"/>
      <family val="2"/>
    </font>
    <font>
      <b/>
      <sz val="9"/>
      <color indexed="53"/>
      <name val="Arial"/>
      <family val="2"/>
    </font>
    <font>
      <sz val="9"/>
      <color indexed="57"/>
      <name val="Arial"/>
      <family val="2"/>
    </font>
    <font>
      <b/>
      <sz val="26"/>
      <color indexed="19"/>
      <name val="Arial"/>
      <family val="2"/>
    </font>
    <font>
      <b/>
      <sz val="10"/>
      <color indexed="62"/>
      <name val="Arial"/>
      <family val="2"/>
    </font>
    <font>
      <sz val="10"/>
      <color indexed="57"/>
      <name val="Arial"/>
      <family val="2"/>
    </font>
    <font>
      <sz val="10"/>
      <color indexed="57"/>
      <name val="Arial"/>
      <family val="2"/>
    </font>
    <font>
      <sz val="9"/>
      <color indexed="20"/>
      <name val="Arial"/>
      <family val="2"/>
    </font>
    <font>
      <b/>
      <u/>
      <sz val="10"/>
      <color indexed="53"/>
      <name val="Arial"/>
      <family val="2"/>
    </font>
    <font>
      <sz val="9"/>
      <color indexed="61"/>
      <name val="Arial"/>
      <family val="2"/>
    </font>
    <font>
      <b/>
      <sz val="9"/>
      <color indexed="17"/>
      <name val="Arial"/>
      <family val="2"/>
    </font>
    <font>
      <sz val="9"/>
      <color indexed="60"/>
      <name val="Arial"/>
      <family val="2"/>
    </font>
    <font>
      <sz val="9"/>
      <color indexed="49"/>
      <name val="Arial"/>
      <family val="2"/>
    </font>
    <font>
      <sz val="9"/>
      <color indexed="53"/>
      <name val="Arial"/>
      <family val="2"/>
    </font>
    <font>
      <sz val="9"/>
      <color indexed="12"/>
      <name val="Arial"/>
      <family val="2"/>
    </font>
    <font>
      <sz val="14"/>
      <color indexed="20"/>
      <name val="Times New Roman"/>
      <family val="1"/>
    </font>
    <font>
      <sz val="10"/>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6"/>
      <color indexed="53"/>
      <name val="Times New Roman"/>
      <family val="1"/>
    </font>
    <font>
      <b/>
      <sz val="18"/>
      <color indexed="53"/>
      <name val="Times New Roman"/>
      <family val="1"/>
    </font>
    <font>
      <sz val="12"/>
      <color indexed="53"/>
      <name val="Times New Roman"/>
      <family val="1"/>
    </font>
    <font>
      <sz val="12"/>
      <name val="Times New Roman"/>
      <family val="1"/>
    </font>
    <font>
      <sz val="12"/>
      <color indexed="14"/>
      <name val="Times New Roman"/>
      <family val="1"/>
    </font>
    <font>
      <b/>
      <sz val="12"/>
      <color indexed="20"/>
      <name val="Times New Roman"/>
      <family val="1"/>
    </font>
    <font>
      <b/>
      <sz val="12"/>
      <color indexed="17"/>
      <name val="Times New Roman"/>
      <family val="1"/>
    </font>
    <font>
      <sz val="9"/>
      <color indexed="14"/>
      <name val="Arial"/>
      <family val="2"/>
    </font>
    <font>
      <sz val="9"/>
      <color indexed="12"/>
      <name val="Arial Narrow"/>
      <family val="2"/>
    </font>
    <font>
      <sz val="9"/>
      <color indexed="62"/>
      <name val="Arial"/>
      <family val="2"/>
    </font>
    <font>
      <sz val="9"/>
      <color indexed="21"/>
      <name val="Arial"/>
      <family val="2"/>
    </font>
    <font>
      <sz val="9"/>
      <color indexed="18"/>
      <name val="Arial"/>
      <family val="2"/>
    </font>
    <font>
      <sz val="10"/>
      <color indexed="14"/>
      <name val="Arial"/>
      <family val="2"/>
    </font>
    <font>
      <sz val="9"/>
      <color indexed="16"/>
      <name val="Arial"/>
      <family val="2"/>
    </font>
    <font>
      <i/>
      <sz val="9"/>
      <name val="Arial"/>
      <family val="2"/>
    </font>
    <font>
      <b/>
      <i/>
      <sz val="9"/>
      <color indexed="10"/>
      <name val="Arial"/>
      <family val="2"/>
    </font>
    <font>
      <vertAlign val="superscript"/>
      <sz val="9"/>
      <color indexed="57"/>
      <name val="Arial"/>
      <family val="2"/>
    </font>
    <font>
      <sz val="11"/>
      <color indexed="8"/>
      <name val="Calibri"/>
      <family val="2"/>
    </font>
    <font>
      <b/>
      <sz val="10"/>
      <color indexed="10"/>
      <name val="Arial"/>
      <family val="2"/>
    </font>
    <font>
      <sz val="10"/>
      <color indexed="62"/>
      <name val="Arial"/>
      <family val="2"/>
    </font>
    <font>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color rgb="FF0000FF"/>
      <name val="Arial"/>
      <family val="2"/>
    </font>
    <font>
      <sz val="10"/>
      <color rgb="FF0000FF"/>
      <name val="Arial"/>
      <family val="2"/>
    </font>
    <font>
      <vertAlign val="superscript"/>
      <sz val="10"/>
      <name val="Arial"/>
      <family val="2"/>
    </font>
    <font>
      <sz val="9"/>
      <color rgb="FFFF00FF"/>
      <name val="Arial"/>
      <family val="2"/>
    </font>
    <font>
      <b/>
      <sz val="9"/>
      <color rgb="FFFF00FF"/>
      <name val="Arial"/>
      <family val="2"/>
    </font>
    <font>
      <b/>
      <vertAlign val="superscript"/>
      <sz val="10"/>
      <color indexed="10"/>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15">
    <xf numFmtId="0" fontId="0" fillId="0" borderId="0"/>
    <xf numFmtId="0" fontId="103" fillId="2" borderId="0" applyNumberFormat="0" applyBorder="0" applyAlignment="0" applyProtection="0"/>
    <xf numFmtId="0" fontId="103" fillId="2" borderId="0" applyNumberFormat="0" applyBorder="0" applyAlignment="0" applyProtection="0"/>
    <xf numFmtId="0" fontId="103" fillId="2" borderId="0" applyNumberFormat="0" applyBorder="0" applyAlignment="0" applyProtection="0"/>
    <xf numFmtId="0" fontId="103" fillId="2" borderId="0" applyNumberFormat="0" applyBorder="0" applyAlignment="0" applyProtection="0"/>
    <xf numFmtId="0" fontId="142" fillId="25" borderId="0" applyNumberFormat="0" applyBorder="0" applyAlignment="0" applyProtection="0"/>
    <xf numFmtId="0" fontId="103" fillId="3" borderId="0" applyNumberFormat="0" applyBorder="0" applyAlignment="0" applyProtection="0"/>
    <xf numFmtId="0" fontId="103" fillId="3" borderId="0" applyNumberFormat="0" applyBorder="0" applyAlignment="0" applyProtection="0"/>
    <xf numFmtId="0" fontId="103" fillId="3" borderId="0" applyNumberFormat="0" applyBorder="0" applyAlignment="0" applyProtection="0"/>
    <xf numFmtId="0" fontId="103" fillId="3" borderId="0" applyNumberFormat="0" applyBorder="0" applyAlignment="0" applyProtection="0"/>
    <xf numFmtId="0" fontId="142" fillId="26" borderId="0" applyNumberFormat="0" applyBorder="0" applyAlignment="0" applyProtection="0"/>
    <xf numFmtId="0" fontId="103" fillId="4" borderId="0" applyNumberFormat="0" applyBorder="0" applyAlignment="0" applyProtection="0"/>
    <xf numFmtId="0" fontId="103" fillId="4" borderId="0" applyNumberFormat="0" applyBorder="0" applyAlignment="0" applyProtection="0"/>
    <xf numFmtId="0" fontId="103" fillId="4" borderId="0" applyNumberFormat="0" applyBorder="0" applyAlignment="0" applyProtection="0"/>
    <xf numFmtId="0" fontId="103" fillId="4" borderId="0" applyNumberFormat="0" applyBorder="0" applyAlignment="0" applyProtection="0"/>
    <xf numFmtId="0" fontId="142" fillId="27" borderId="0" applyNumberFormat="0" applyBorder="0" applyAlignment="0" applyProtection="0"/>
    <xf numFmtId="0" fontId="103" fillId="5" borderId="0" applyNumberFormat="0" applyBorder="0" applyAlignment="0" applyProtection="0"/>
    <xf numFmtId="0" fontId="103" fillId="5" borderId="0" applyNumberFormat="0" applyBorder="0" applyAlignment="0" applyProtection="0"/>
    <xf numFmtId="0" fontId="103" fillId="5" borderId="0" applyNumberFormat="0" applyBorder="0" applyAlignment="0" applyProtection="0"/>
    <xf numFmtId="0" fontId="103" fillId="5" borderId="0" applyNumberFormat="0" applyBorder="0" applyAlignment="0" applyProtection="0"/>
    <xf numFmtId="0" fontId="142" fillId="28" borderId="0" applyNumberFormat="0" applyBorder="0" applyAlignment="0" applyProtection="0"/>
    <xf numFmtId="0" fontId="103" fillId="6" borderId="0" applyNumberFormat="0" applyBorder="0" applyAlignment="0" applyProtection="0"/>
    <xf numFmtId="0" fontId="103" fillId="6" borderId="0" applyNumberFormat="0" applyBorder="0" applyAlignment="0" applyProtection="0"/>
    <xf numFmtId="0" fontId="103" fillId="6" borderId="0" applyNumberFormat="0" applyBorder="0" applyAlignment="0" applyProtection="0"/>
    <xf numFmtId="0" fontId="103" fillId="6" borderId="0" applyNumberFormat="0" applyBorder="0" applyAlignment="0" applyProtection="0"/>
    <xf numFmtId="0" fontId="142" fillId="29"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42" fillId="30"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42" fillId="31"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42" fillId="32"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42" fillId="33" borderId="0" applyNumberFormat="0" applyBorder="0" applyAlignment="0" applyProtection="0"/>
    <xf numFmtId="0" fontId="103" fillId="5" borderId="0" applyNumberFormat="0" applyBorder="0" applyAlignment="0" applyProtection="0"/>
    <xf numFmtId="0" fontId="103" fillId="5" borderId="0" applyNumberFormat="0" applyBorder="0" applyAlignment="0" applyProtection="0"/>
    <xf numFmtId="0" fontId="103" fillId="5" borderId="0" applyNumberFormat="0" applyBorder="0" applyAlignment="0" applyProtection="0"/>
    <xf numFmtId="0" fontId="103" fillId="5" borderId="0" applyNumberFormat="0" applyBorder="0" applyAlignment="0" applyProtection="0"/>
    <xf numFmtId="0" fontId="142" fillId="34"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42" fillId="35"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42" fillId="36"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43" fillId="37"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43" fillId="38"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43" fillId="39"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43" fillId="4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43" fillId="41"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43" fillId="42" borderId="0" applyNumberFormat="0" applyBorder="0" applyAlignment="0" applyProtection="0"/>
    <xf numFmtId="0" fontId="104" fillId="16" borderId="0" applyNumberFormat="0" applyBorder="0" applyAlignment="0" applyProtection="0"/>
    <xf numFmtId="0" fontId="104" fillId="16" borderId="0" applyNumberFormat="0" applyBorder="0" applyAlignment="0" applyProtection="0"/>
    <xf numFmtId="0" fontId="104" fillId="16" borderId="0" applyNumberFormat="0" applyBorder="0" applyAlignment="0" applyProtection="0"/>
    <xf numFmtId="0" fontId="104" fillId="16" borderId="0" applyNumberFormat="0" applyBorder="0" applyAlignment="0" applyProtection="0"/>
    <xf numFmtId="0" fontId="143" fillId="43"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43" fillId="4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43" fillId="45"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43" fillId="46"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43" fillId="47"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43" fillId="48" borderId="0" applyNumberFormat="0" applyBorder="0" applyAlignment="0" applyProtection="0"/>
    <xf numFmtId="0" fontId="105" fillId="3" borderId="0" applyNumberFormat="0" applyBorder="0" applyAlignment="0" applyProtection="0"/>
    <xf numFmtId="0" fontId="105" fillId="3" borderId="0" applyNumberFormat="0" applyBorder="0" applyAlignment="0" applyProtection="0"/>
    <xf numFmtId="0" fontId="105" fillId="3" borderId="0" applyNumberFormat="0" applyBorder="0" applyAlignment="0" applyProtection="0"/>
    <xf numFmtId="0" fontId="105" fillId="3" borderId="0" applyNumberFormat="0" applyBorder="0" applyAlignment="0" applyProtection="0"/>
    <xf numFmtId="0" fontId="144" fillId="49" borderId="0" applyNumberFormat="0" applyBorder="0" applyAlignment="0" applyProtection="0"/>
    <xf numFmtId="0" fontId="106" fillId="20" borderId="1" applyNumberFormat="0" applyAlignment="0" applyProtection="0"/>
    <xf numFmtId="0" fontId="106" fillId="20" borderId="1" applyNumberFormat="0" applyAlignment="0" applyProtection="0"/>
    <xf numFmtId="0" fontId="106" fillId="20" borderId="1" applyNumberFormat="0" applyAlignment="0" applyProtection="0"/>
    <xf numFmtId="0" fontId="106" fillId="20" borderId="1" applyNumberFormat="0" applyAlignment="0" applyProtection="0"/>
    <xf numFmtId="0" fontId="145" fillId="50" borderId="25" applyNumberFormat="0" applyAlignment="0" applyProtection="0"/>
    <xf numFmtId="0" fontId="107" fillId="21" borderId="2" applyNumberFormat="0" applyAlignment="0" applyProtection="0"/>
    <xf numFmtId="0" fontId="107" fillId="21" borderId="2" applyNumberFormat="0" applyAlignment="0" applyProtection="0"/>
    <xf numFmtId="0" fontId="107" fillId="21" borderId="2" applyNumberFormat="0" applyAlignment="0" applyProtection="0"/>
    <xf numFmtId="0" fontId="107" fillId="21" borderId="2" applyNumberFormat="0" applyAlignment="0" applyProtection="0"/>
    <xf numFmtId="0" fontId="146" fillId="51" borderId="26"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47" fillId="0" borderId="0" applyNumberFormat="0" applyFill="0" applyBorder="0" applyAlignment="0" applyProtection="0"/>
    <xf numFmtId="0" fontId="109" fillId="4" borderId="0" applyNumberFormat="0" applyBorder="0" applyAlignment="0" applyProtection="0"/>
    <xf numFmtId="0" fontId="109" fillId="4" borderId="0" applyNumberFormat="0" applyBorder="0" applyAlignment="0" applyProtection="0"/>
    <xf numFmtId="0" fontId="109" fillId="4" borderId="0" applyNumberFormat="0" applyBorder="0" applyAlignment="0" applyProtection="0"/>
    <xf numFmtId="0" fontId="109" fillId="4" borderId="0" applyNumberFormat="0" applyBorder="0" applyAlignment="0" applyProtection="0"/>
    <xf numFmtId="0" fontId="148" fillId="52" borderId="0" applyNumberFormat="0" applyBorder="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10" fillId="0" borderId="3" applyNumberFormat="0" applyFill="0" applyAlignment="0" applyProtection="0"/>
    <xf numFmtId="0" fontId="149" fillId="0" borderId="27" applyNumberFormat="0" applyFill="0" applyAlignment="0" applyProtection="0"/>
    <xf numFmtId="0" fontId="111" fillId="0" borderId="4" applyNumberFormat="0" applyFill="0" applyAlignment="0" applyProtection="0"/>
    <xf numFmtId="0" fontId="111" fillId="0" borderId="4" applyNumberFormat="0" applyFill="0" applyAlignment="0" applyProtection="0"/>
    <xf numFmtId="0" fontId="111" fillId="0" borderId="4" applyNumberFormat="0" applyFill="0" applyAlignment="0" applyProtection="0"/>
    <xf numFmtId="0" fontId="111" fillId="0" borderId="4" applyNumberFormat="0" applyFill="0" applyAlignment="0" applyProtection="0"/>
    <xf numFmtId="0" fontId="150" fillId="0" borderId="28" applyNumberFormat="0" applyFill="0" applyAlignment="0" applyProtection="0"/>
    <xf numFmtId="0" fontId="112" fillId="0" borderId="5" applyNumberFormat="0" applyFill="0" applyAlignment="0" applyProtection="0"/>
    <xf numFmtId="0" fontId="112" fillId="0" borderId="5" applyNumberFormat="0" applyFill="0" applyAlignment="0" applyProtection="0"/>
    <xf numFmtId="0" fontId="112" fillId="0" borderId="5" applyNumberFormat="0" applyFill="0" applyAlignment="0" applyProtection="0"/>
    <xf numFmtId="0" fontId="112" fillId="0" borderId="5" applyNumberFormat="0" applyFill="0" applyAlignment="0" applyProtection="0"/>
    <xf numFmtId="0" fontId="151" fillId="0" borderId="2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51" fillId="0" borderId="0" applyNumberFormat="0" applyFill="0" applyBorder="0" applyAlignment="0" applyProtection="0"/>
    <xf numFmtId="0" fontId="4" fillId="0" borderId="0" applyNumberFormat="0" applyFill="0" applyBorder="0" applyAlignment="0" applyProtection="0">
      <alignment vertical="top"/>
      <protection locked="0"/>
    </xf>
    <xf numFmtId="0" fontId="113" fillId="7" borderId="1" applyNumberFormat="0" applyAlignment="0" applyProtection="0"/>
    <xf numFmtId="0" fontId="113" fillId="7" borderId="1" applyNumberFormat="0" applyAlignment="0" applyProtection="0"/>
    <xf numFmtId="0" fontId="113" fillId="7" borderId="1" applyNumberFormat="0" applyAlignment="0" applyProtection="0"/>
    <xf numFmtId="0" fontId="113" fillId="7" borderId="1" applyNumberFormat="0" applyAlignment="0" applyProtection="0"/>
    <xf numFmtId="0" fontId="152" fillId="53" borderId="25" applyNumberFormat="0" applyAlignment="0" applyProtection="0"/>
    <xf numFmtId="0" fontId="114" fillId="0" borderId="6" applyNumberFormat="0" applyFill="0" applyAlignment="0" applyProtection="0"/>
    <xf numFmtId="0" fontId="114" fillId="0" borderId="6" applyNumberFormat="0" applyFill="0" applyAlignment="0" applyProtection="0"/>
    <xf numFmtId="0" fontId="114" fillId="0" borderId="6" applyNumberFormat="0" applyFill="0" applyAlignment="0" applyProtection="0"/>
    <xf numFmtId="0" fontId="114" fillId="0" borderId="6" applyNumberFormat="0" applyFill="0" applyAlignment="0" applyProtection="0"/>
    <xf numFmtId="0" fontId="153" fillId="0" borderId="30" applyNumberFormat="0" applyFill="0" applyAlignment="0" applyProtection="0"/>
    <xf numFmtId="0" fontId="115" fillId="22" borderId="0" applyNumberFormat="0" applyBorder="0" applyAlignment="0" applyProtection="0"/>
    <xf numFmtId="0" fontId="115" fillId="22" borderId="0" applyNumberFormat="0" applyBorder="0" applyAlignment="0" applyProtection="0"/>
    <xf numFmtId="0" fontId="115" fillId="22" borderId="0" applyNumberFormat="0" applyBorder="0" applyAlignment="0" applyProtection="0"/>
    <xf numFmtId="0" fontId="115" fillId="22" borderId="0" applyNumberFormat="0" applyBorder="0" applyAlignment="0" applyProtection="0"/>
    <xf numFmtId="0" fontId="154" fillId="54" borderId="0" applyNumberFormat="0" applyBorder="0" applyAlignment="0" applyProtection="0"/>
    <xf numFmtId="0" fontId="3" fillId="0" borderId="0"/>
    <xf numFmtId="0" fontId="142" fillId="0" borderId="0"/>
    <xf numFmtId="0" fontId="3" fillId="0" borderId="0"/>
    <xf numFmtId="0" fontId="3" fillId="0" borderId="0"/>
    <xf numFmtId="0" fontId="1"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138" fillId="55" borderId="31" applyNumberFormat="0" applyFon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16" fillId="20" borderId="8" applyNumberFormat="0" applyAlignment="0" applyProtection="0"/>
    <xf numFmtId="0" fontId="155" fillId="50" borderId="32" applyNumberFormat="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56" fillId="0" borderId="0" applyNumberFormat="0" applyFill="0" applyBorder="0" applyAlignment="0" applyProtection="0"/>
    <xf numFmtId="0" fontId="118" fillId="0" borderId="9" applyNumberFormat="0" applyFill="0" applyAlignment="0" applyProtection="0"/>
    <xf numFmtId="0" fontId="118" fillId="0" borderId="9" applyNumberFormat="0" applyFill="0" applyAlignment="0" applyProtection="0"/>
    <xf numFmtId="0" fontId="118" fillId="0" borderId="9" applyNumberFormat="0" applyFill="0" applyAlignment="0" applyProtection="0"/>
    <xf numFmtId="0" fontId="118" fillId="0" borderId="9" applyNumberFormat="0" applyFill="0" applyAlignment="0" applyProtection="0"/>
    <xf numFmtId="0" fontId="157" fillId="0" borderId="33" applyNumberFormat="0" applyFill="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58" fillId="0" borderId="0" applyNumberFormat="0" applyFill="0" applyBorder="0" applyAlignment="0" applyProtection="0"/>
  </cellStyleXfs>
  <cellXfs count="1867">
    <xf numFmtId="0" fontId="0" fillId="0" borderId="0" xfId="0"/>
    <xf numFmtId="0" fontId="0" fillId="0" borderId="0" xfId="0" applyAlignment="1">
      <alignment horizontal="center"/>
    </xf>
    <xf numFmtId="0" fontId="0" fillId="0" borderId="0" xfId="0" applyAlignment="1"/>
    <xf numFmtId="0" fontId="0" fillId="0" borderId="0" xfId="0" applyAlignment="1">
      <alignment horizontal="left"/>
    </xf>
    <xf numFmtId="0" fontId="0" fillId="0" borderId="10" xfId="0" applyBorder="1"/>
    <xf numFmtId="0" fontId="2" fillId="0" borderId="0" xfId="0" applyFont="1"/>
    <xf numFmtId="0" fontId="3" fillId="0" borderId="0" xfId="0" applyFont="1"/>
    <xf numFmtId="0" fontId="0" fillId="0" borderId="0" xfId="0" applyBorder="1"/>
    <xf numFmtId="0" fontId="0" fillId="0" borderId="0" xfId="0" applyBorder="1" applyAlignment="1">
      <alignment horizontal="center"/>
    </xf>
    <xf numFmtId="0" fontId="0" fillId="0" borderId="11" xfId="0" quotePrefix="1" applyBorder="1" applyAlignment="1">
      <alignment horizontal="center"/>
    </xf>
    <xf numFmtId="0" fontId="0" fillId="0" borderId="0" xfId="0" applyAlignment="1">
      <alignment horizontal="right"/>
    </xf>
    <xf numFmtId="0" fontId="0" fillId="0" borderId="10" xfId="0" applyBorder="1" applyAlignment="1">
      <alignment horizontal="right"/>
    </xf>
    <xf numFmtId="0" fontId="6" fillId="0" borderId="0" xfId="0" applyFont="1"/>
    <xf numFmtId="0" fontId="6" fillId="0" borderId="10" xfId="0" applyFont="1" applyBorder="1"/>
    <xf numFmtId="0" fontId="6" fillId="0" borderId="0" xfId="0" applyFont="1" applyBorder="1"/>
    <xf numFmtId="0" fontId="6" fillId="0" borderId="0" xfId="0" applyFont="1" applyAlignment="1">
      <alignment horizontal="center" vertical="center"/>
    </xf>
    <xf numFmtId="0" fontId="0" fillId="0" borderId="0" xfId="0" applyFill="1" applyBorder="1" applyAlignment="1">
      <alignment horizontal="right"/>
    </xf>
    <xf numFmtId="0" fontId="0" fillId="0" borderId="0" xfId="0" quotePrefix="1"/>
    <xf numFmtId="0" fontId="0" fillId="0" borderId="11" xfId="0" quotePrefix="1" applyFill="1" applyBorder="1" applyAlignment="1">
      <alignment horizontal="center"/>
    </xf>
    <xf numFmtId="2" fontId="0" fillId="0" borderId="0" xfId="0" applyNumberFormat="1"/>
    <xf numFmtId="0" fontId="0" fillId="0" borderId="0" xfId="0" applyBorder="1" applyAlignment="1">
      <alignment horizontal="left"/>
    </xf>
    <xf numFmtId="0" fontId="2" fillId="0" borderId="0" xfId="0" applyFont="1" applyBorder="1" applyAlignment="1">
      <alignment horizontal="center" vertical="top" wrapText="1"/>
    </xf>
    <xf numFmtId="0" fontId="0" fillId="0" borderId="0" xfId="0" applyAlignment="1">
      <alignment vertical="top"/>
    </xf>
    <xf numFmtId="0" fontId="2" fillId="0" borderId="0" xfId="0" applyFont="1" applyBorder="1" applyAlignment="1">
      <alignment horizontal="center" vertical="top"/>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quotePrefix="1" applyBorder="1"/>
    <xf numFmtId="0" fontId="0" fillId="0" borderId="12" xfId="0" applyFill="1" applyBorder="1" applyAlignment="1">
      <alignment horizontal="right"/>
    </xf>
    <xf numFmtId="0" fontId="2" fillId="0" borderId="10" xfId="0" applyFont="1" applyBorder="1" applyAlignment="1">
      <alignment horizontal="center" vertical="top" wrapText="1"/>
    </xf>
    <xf numFmtId="0" fontId="2" fillId="0" borderId="10" xfId="0" applyFont="1" applyBorder="1" applyAlignment="1">
      <alignment horizontal="center" vertical="center"/>
    </xf>
    <xf numFmtId="0" fontId="3" fillId="0" borderId="0" xfId="0" applyFont="1" applyAlignment="1">
      <alignment horizontal="right"/>
    </xf>
    <xf numFmtId="0" fontId="0" fillId="0" borderId="0" xfId="0" applyBorder="1" applyAlignment="1">
      <alignment horizontal="center" vertical="center"/>
    </xf>
    <xf numFmtId="0" fontId="3" fillId="0" borderId="10" xfId="0" applyFont="1" applyBorder="1" applyAlignment="1">
      <alignment horizontal="center" vertical="top"/>
    </xf>
    <xf numFmtId="0" fontId="2" fillId="0" borderId="0" xfId="0" applyFont="1" applyAlignment="1">
      <alignment horizontal="center" vertical="top"/>
    </xf>
    <xf numFmtId="0" fontId="0" fillId="0" borderId="13" xfId="0" applyBorder="1" applyAlignment="1">
      <alignment horizontal="center" vertical="center"/>
    </xf>
    <xf numFmtId="49" fontId="2" fillId="0" borderId="0" xfId="0" applyNumberFormat="1" applyFont="1" applyAlignment="1">
      <alignment horizontal="left" vertical="top"/>
    </xf>
    <xf numFmtId="0" fontId="0" fillId="0" borderId="0" xfId="0" applyProtection="1">
      <protection locked="0"/>
    </xf>
    <xf numFmtId="0" fontId="0" fillId="0" borderId="0" xfId="0" applyBorder="1" applyAlignment="1" applyProtection="1">
      <alignment horizontal="center"/>
      <protection locked="0"/>
    </xf>
    <xf numFmtId="1" fontId="3" fillId="0" borderId="0" xfId="0" applyNumberFormat="1" applyFont="1"/>
    <xf numFmtId="0" fontId="0" fillId="0" borderId="14" xfId="0" applyBorder="1" applyAlignment="1" applyProtection="1">
      <alignment horizontal="center"/>
      <protection locked="0"/>
    </xf>
    <xf numFmtId="0" fontId="6" fillId="0" borderId="0" xfId="0" applyFont="1" applyAlignment="1">
      <alignment horizontal="center"/>
    </xf>
    <xf numFmtId="0" fontId="3" fillId="0" borderId="14" xfId="0" applyFont="1" applyBorder="1" applyAlignment="1" applyProtection="1">
      <alignment horizontal="center"/>
      <protection locked="0"/>
    </xf>
    <xf numFmtId="0" fontId="0" fillId="0" borderId="15"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xf numFmtId="0" fontId="3" fillId="0" borderId="0" xfId="0" applyFont="1" applyBorder="1" applyAlignment="1" applyProtection="1">
      <alignment horizontal="center"/>
      <protection locked="0"/>
    </xf>
    <xf numFmtId="0" fontId="17" fillId="0" borderId="15" xfId="0" applyFont="1"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18" fillId="0" borderId="0" xfId="0" applyFont="1"/>
    <xf numFmtId="0" fontId="18" fillId="0" borderId="0" xfId="0" quotePrefix="1" applyFont="1"/>
    <xf numFmtId="0" fontId="0" fillId="0" borderId="15" xfId="0" applyBorder="1" applyAlignment="1">
      <alignment horizontal="center" vertical="center"/>
    </xf>
    <xf numFmtId="0" fontId="0" fillId="0" borderId="0" xfId="0" applyFill="1" applyBorder="1" applyAlignment="1">
      <alignment horizontal="center" vertical="center"/>
    </xf>
    <xf numFmtId="0" fontId="26" fillId="0" borderId="0" xfId="0" applyFont="1" applyBorder="1" applyAlignment="1">
      <alignment horizontal="right"/>
    </xf>
    <xf numFmtId="0" fontId="26" fillId="0" borderId="0" xfId="0" applyFont="1"/>
    <xf numFmtId="0" fontId="26" fillId="0" borderId="0" xfId="0" applyFont="1" applyAlignment="1">
      <alignment horizontal="right"/>
    </xf>
    <xf numFmtId="0" fontId="16" fillId="0" borderId="19" xfId="0" quotePrefix="1" applyFont="1" applyBorder="1" applyAlignment="1">
      <alignment horizontal="center" vertical="center"/>
    </xf>
    <xf numFmtId="0" fontId="16" fillId="0" borderId="13" xfId="0" quotePrefix="1" applyFont="1" applyBorder="1" applyAlignment="1">
      <alignment horizontal="center" vertical="center"/>
    </xf>
    <xf numFmtId="0" fontId="16" fillId="0" borderId="19" xfId="0" quotePrefix="1" applyFont="1" applyFill="1" applyBorder="1" applyAlignment="1">
      <alignment horizontal="center" vertical="center"/>
    </xf>
    <xf numFmtId="0" fontId="16" fillId="0" borderId="13" xfId="0" quotePrefix="1" applyFont="1" applyFill="1" applyBorder="1" applyAlignment="1">
      <alignment horizontal="center" vertical="center"/>
    </xf>
    <xf numFmtId="0" fontId="16" fillId="0" borderId="13" xfId="0" quotePrefix="1" applyFont="1" applyBorder="1" applyAlignment="1">
      <alignment horizontal="center"/>
    </xf>
    <xf numFmtId="0" fontId="27" fillId="0" borderId="0" xfId="0" applyFont="1"/>
    <xf numFmtId="0" fontId="26" fillId="0" borderId="0" xfId="0" applyFont="1" applyAlignment="1">
      <alignment horizontal="center"/>
    </xf>
    <xf numFmtId="0" fontId="27" fillId="0" borderId="0" xfId="0" applyFont="1" applyAlignment="1">
      <alignment horizontal="center"/>
    </xf>
    <xf numFmtId="0" fontId="26" fillId="0" borderId="0" xfId="0" applyFont="1" applyAlignment="1" applyProtection="1">
      <alignment horizontal="right"/>
      <protection locked="0"/>
    </xf>
    <xf numFmtId="0" fontId="26" fillId="0" borderId="0" xfId="0" applyFont="1" applyProtection="1">
      <protection locked="0"/>
    </xf>
    <xf numFmtId="0" fontId="26" fillId="0" borderId="0" xfId="0" applyFont="1" applyAlignment="1"/>
    <xf numFmtId="0" fontId="26" fillId="0" borderId="0" xfId="0" applyFont="1" applyAlignment="1">
      <alignment horizontal="left" vertical="top"/>
    </xf>
    <xf numFmtId="0" fontId="26" fillId="0" borderId="0" xfId="0" applyFont="1" applyBorder="1"/>
    <xf numFmtId="0" fontId="26" fillId="0" borderId="0" xfId="0" applyFont="1" applyAlignment="1">
      <alignment horizontal="left"/>
    </xf>
    <xf numFmtId="0" fontId="27" fillId="0" borderId="0" xfId="0" applyFont="1" applyBorder="1" applyAlignment="1"/>
    <xf numFmtId="0" fontId="24" fillId="0" borderId="0" xfId="0" applyFont="1"/>
    <xf numFmtId="0" fontId="24" fillId="0" borderId="0" xfId="0" applyFont="1" applyBorder="1"/>
    <xf numFmtId="0" fontId="16" fillId="0" borderId="20" xfId="0" quotePrefix="1" applyFont="1" applyBorder="1" applyAlignment="1">
      <alignment horizontal="center"/>
    </xf>
    <xf numFmtId="0" fontId="33" fillId="0" borderId="14" xfId="0" applyFont="1" applyBorder="1" applyAlignment="1">
      <alignment horizontal="center"/>
    </xf>
    <xf numFmtId="0" fontId="26" fillId="0" borderId="0" xfId="0" applyFont="1" applyAlignment="1">
      <alignment vertical="top" wrapText="1"/>
    </xf>
    <xf numFmtId="0" fontId="14" fillId="0" borderId="0" xfId="0" applyFont="1" applyAlignment="1">
      <alignment horizontal="center"/>
    </xf>
    <xf numFmtId="0" fontId="14" fillId="0" borderId="15" xfId="0" applyFont="1" applyBorder="1" applyAlignment="1" applyProtection="1">
      <alignment vertical="center"/>
      <protection locked="0"/>
    </xf>
    <xf numFmtId="0" fontId="14" fillId="0" borderId="0" xfId="0" applyFont="1"/>
    <xf numFmtId="0" fontId="43" fillId="0" borderId="0" xfId="0" applyFont="1" applyAlignment="1">
      <alignment horizontal="center"/>
    </xf>
    <xf numFmtId="0" fontId="43" fillId="0" borderId="0" xfId="0" applyFont="1"/>
    <xf numFmtId="0" fontId="14" fillId="0" borderId="14" xfId="0" applyFont="1" applyBorder="1"/>
    <xf numFmtId="0" fontId="14" fillId="0" borderId="0" xfId="0" applyFont="1" applyBorder="1"/>
    <xf numFmtId="0" fontId="45" fillId="0" borderId="14" xfId="0" applyFont="1" applyBorder="1" applyAlignment="1" applyProtection="1">
      <alignment horizontal="center"/>
      <protection locked="0"/>
    </xf>
    <xf numFmtId="0" fontId="22" fillId="0" borderId="11" xfId="0" quotePrefix="1" applyFont="1" applyBorder="1" applyAlignment="1">
      <alignment horizontal="center"/>
    </xf>
    <xf numFmtId="0" fontId="45" fillId="0" borderId="0" xfId="0" applyFont="1" applyBorder="1" applyAlignment="1">
      <alignment horizontal="left"/>
    </xf>
    <xf numFmtId="0" fontId="16" fillId="0" borderId="11" xfId="0" quotePrefix="1" applyFont="1" applyBorder="1" applyAlignment="1">
      <alignment horizontal="center" vertical="center"/>
    </xf>
    <xf numFmtId="0" fontId="16" fillId="0" borderId="11" xfId="0" quotePrefix="1" applyFont="1" applyBorder="1" applyAlignment="1">
      <alignment horizontal="center" vertical="center" wrapText="1"/>
    </xf>
    <xf numFmtId="0" fontId="33" fillId="0" borderId="0" xfId="0" applyFont="1" applyBorder="1"/>
    <xf numFmtId="0" fontId="21" fillId="0" borderId="0" xfId="0" applyFont="1" applyBorder="1"/>
    <xf numFmtId="0" fontId="26" fillId="0" borderId="15" xfId="0" applyFont="1" applyBorder="1" applyAlignment="1">
      <alignment horizontal="center" vertical="center"/>
    </xf>
    <xf numFmtId="0" fontId="16" fillId="0" borderId="20" xfId="0" quotePrefix="1" applyFont="1" applyBorder="1" applyAlignment="1">
      <alignment horizontal="center" vertical="center"/>
    </xf>
    <xf numFmtId="0" fontId="16" fillId="0" borderId="11" xfId="0" quotePrefix="1" applyFont="1" applyFill="1" applyBorder="1" applyAlignment="1">
      <alignment horizontal="center" vertical="center"/>
    </xf>
    <xf numFmtId="0" fontId="16" fillId="0" borderId="13" xfId="0" quotePrefix="1" applyFont="1" applyBorder="1" applyAlignment="1">
      <alignment horizontal="center" vertical="center" wrapText="1"/>
    </xf>
    <xf numFmtId="0" fontId="40" fillId="0" borderId="20" xfId="0" quotePrefix="1" applyFont="1" applyBorder="1" applyAlignment="1">
      <alignment horizontal="center" vertical="center" wrapText="1"/>
    </xf>
    <xf numFmtId="0" fontId="40" fillId="0" borderId="11" xfId="0" quotePrefix="1" applyFont="1" applyBorder="1" applyAlignment="1">
      <alignment horizontal="center" vertical="center"/>
    </xf>
    <xf numFmtId="0" fontId="40" fillId="0" borderId="13" xfId="0" quotePrefix="1" applyFont="1" applyBorder="1" applyAlignment="1">
      <alignment horizontal="center" vertical="center"/>
    </xf>
    <xf numFmtId="0" fontId="29" fillId="0" borderId="21" xfId="0" applyFont="1" applyBorder="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0" fontId="23" fillId="0" borderId="0" xfId="0" applyFont="1" applyBorder="1" applyAlignment="1">
      <alignment horizontal="center" vertical="top" wrapText="1"/>
    </xf>
    <xf numFmtId="0" fontId="59" fillId="0" borderId="0" xfId="0" applyFont="1" applyAlignment="1">
      <alignment horizontal="center" vertical="top"/>
    </xf>
    <xf numFmtId="0" fontId="60" fillId="0" borderId="0" xfId="0" applyFont="1" applyAlignment="1">
      <alignment vertical="top"/>
    </xf>
    <xf numFmtId="0" fontId="49" fillId="0" borderId="0" xfId="0" applyFont="1" applyAlignment="1"/>
    <xf numFmtId="0" fontId="60" fillId="0" borderId="0" xfId="0" applyFont="1" applyAlignment="1"/>
    <xf numFmtId="0" fontId="61" fillId="0" borderId="0" xfId="0" applyFont="1" applyAlignment="1">
      <alignment horizontal="center"/>
    </xf>
    <xf numFmtId="0" fontId="61" fillId="0" borderId="0" xfId="0" applyFont="1"/>
    <xf numFmtId="0" fontId="14" fillId="0" borderId="14" xfId="0" applyFont="1" applyBorder="1" applyAlignment="1">
      <alignment horizontal="center" vertical="center"/>
    </xf>
    <xf numFmtId="0" fontId="13" fillId="0" borderId="0" xfId="0" applyFont="1" applyBorder="1" applyAlignment="1">
      <alignment horizontal="center" vertical="top" wrapText="1"/>
    </xf>
    <xf numFmtId="0" fontId="0" fillId="0" borderId="20" xfId="0" quotePrefix="1" applyBorder="1" applyAlignment="1">
      <alignment horizontal="center"/>
    </xf>
    <xf numFmtId="0" fontId="45" fillId="0" borderId="0" xfId="0" applyFont="1" applyBorder="1"/>
    <xf numFmtId="0" fontId="0" fillId="0" borderId="0" xfId="0" applyBorder="1" applyAlignment="1">
      <alignment vertical="top"/>
    </xf>
    <xf numFmtId="0" fontId="0" fillId="0" borderId="13" xfId="0" quotePrefix="1" applyBorder="1" applyAlignment="1">
      <alignment horizontal="center"/>
    </xf>
    <xf numFmtId="0" fontId="22" fillId="0" borderId="14" xfId="0" applyFont="1" applyBorder="1"/>
    <xf numFmtId="0" fontId="14" fillId="0" borderId="14" xfId="0" applyFont="1" applyBorder="1" applyAlignment="1">
      <alignment vertical="top" wrapText="1"/>
    </xf>
    <xf numFmtId="0" fontId="14" fillId="0" borderId="14" xfId="0" applyFont="1" applyBorder="1" applyAlignment="1">
      <alignment wrapText="1"/>
    </xf>
    <xf numFmtId="0" fontId="45" fillId="0" borderId="14" xfId="0" applyFont="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center"/>
    </xf>
    <xf numFmtId="0" fontId="0" fillId="0" borderId="19" xfId="0" applyBorder="1" applyAlignment="1">
      <alignment horizontal="center"/>
    </xf>
    <xf numFmtId="0" fontId="33" fillId="0" borderId="0" xfId="0" applyFont="1" applyBorder="1" applyAlignment="1">
      <alignment horizontal="left"/>
    </xf>
    <xf numFmtId="0" fontId="23" fillId="0" borderId="0" xfId="0" applyFont="1" applyAlignment="1">
      <alignment horizontal="center" vertical="center"/>
    </xf>
    <xf numFmtId="0" fontId="25" fillId="0" borderId="18" xfId="0" applyFont="1" applyBorder="1" applyAlignment="1">
      <alignment horizontal="center" vertical="top" wrapText="1"/>
    </xf>
    <xf numFmtId="0" fontId="8" fillId="0" borderId="19" xfId="0" applyFont="1" applyBorder="1" applyAlignment="1">
      <alignment horizontal="center" vertical="center"/>
    </xf>
    <xf numFmtId="0" fontId="8" fillId="0" borderId="13" xfId="0" applyFont="1" applyBorder="1" applyAlignment="1">
      <alignment horizontal="center" vertical="center"/>
    </xf>
    <xf numFmtId="0" fontId="16" fillId="0" borderId="22" xfId="0" quotePrefix="1" applyFont="1" applyFill="1" applyBorder="1" applyAlignment="1">
      <alignment horizontal="center" vertical="center"/>
    </xf>
    <xf numFmtId="0" fontId="16" fillId="0" borderId="10" xfId="0" quotePrefix="1" applyFont="1" applyFill="1" applyBorder="1" applyAlignment="1">
      <alignment horizontal="center" vertical="center"/>
    </xf>
    <xf numFmtId="0" fontId="8" fillId="0" borderId="11"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xf numFmtId="0" fontId="21" fillId="0" borderId="0" xfId="0" applyFont="1" applyBorder="1" applyAlignment="1">
      <alignment horizontal="center"/>
    </xf>
    <xf numFmtId="0" fontId="30" fillId="0" borderId="0" xfId="0" applyFont="1" applyBorder="1"/>
    <xf numFmtId="0" fontId="14" fillId="0" borderId="15" xfId="0" applyFont="1" applyBorder="1" applyAlignment="1" applyProtection="1">
      <alignment horizontal="center" vertical="center"/>
      <protection locked="0"/>
    </xf>
    <xf numFmtId="0" fontId="22" fillId="0" borderId="20" xfId="0" quotePrefix="1" applyFont="1" applyBorder="1" applyAlignment="1">
      <alignment horizontal="center"/>
    </xf>
    <xf numFmtId="0" fontId="22" fillId="0" borderId="13" xfId="0" quotePrefix="1" applyFont="1" applyBorder="1" applyAlignment="1">
      <alignment horizontal="center"/>
    </xf>
    <xf numFmtId="0" fontId="45" fillId="0" borderId="14" xfId="0" applyFont="1" applyBorder="1" applyAlignment="1">
      <alignment horizontal="left"/>
    </xf>
    <xf numFmtId="0" fontId="16" fillId="0" borderId="19" xfId="0" quotePrefix="1" applyFont="1" applyBorder="1" applyAlignment="1">
      <alignment horizontal="center" vertical="center" wrapText="1"/>
    </xf>
    <xf numFmtId="0" fontId="0" fillId="0" borderId="0" xfId="0" applyBorder="1" applyAlignment="1">
      <alignment horizontal="left" vertical="top"/>
    </xf>
    <xf numFmtId="0" fontId="0" fillId="0" borderId="15" xfId="0" applyBorder="1" applyAlignment="1" applyProtection="1">
      <alignment horizontal="center"/>
      <protection locked="0"/>
    </xf>
    <xf numFmtId="0" fontId="34" fillId="0" borderId="19" xfId="0" applyFont="1" applyBorder="1" applyAlignment="1">
      <alignment horizontal="center" vertical="center"/>
    </xf>
    <xf numFmtId="0" fontId="46" fillId="0" borderId="14" xfId="0" applyFont="1" applyBorder="1"/>
    <xf numFmtId="0" fontId="45" fillId="0" borderId="14" xfId="0" applyFont="1" applyBorder="1"/>
    <xf numFmtId="0" fontId="46" fillId="0" borderId="0" xfId="0" applyFont="1" applyBorder="1"/>
    <xf numFmtId="0" fontId="0" fillId="0" borderId="13" xfId="0" quotePrefix="1" applyFill="1" applyBorder="1" applyAlignment="1">
      <alignment horizontal="center"/>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0" borderId="0" xfId="0" applyFont="1" applyBorder="1" applyAlignment="1">
      <alignment vertical="top"/>
    </xf>
    <xf numFmtId="0" fontId="23" fillId="0" borderId="0" xfId="0" applyFont="1" applyBorder="1" applyAlignment="1">
      <alignment horizontal="center" vertical="top"/>
    </xf>
    <xf numFmtId="0" fontId="35" fillId="0" borderId="0" xfId="0" applyFont="1" applyAlignment="1">
      <alignment horizontal="right"/>
    </xf>
    <xf numFmtId="0" fontId="16" fillId="0" borderId="20" xfId="0" quotePrefix="1" applyFont="1" applyFill="1" applyBorder="1" applyAlignment="1">
      <alignment horizontal="center" vertical="center"/>
    </xf>
    <xf numFmtId="0" fontId="16" fillId="0" borderId="22" xfId="0" quotePrefix="1" applyFont="1" applyBorder="1" applyAlignment="1">
      <alignment horizontal="center" vertical="center"/>
    </xf>
    <xf numFmtId="0" fontId="0" fillId="0" borderId="22" xfId="0" applyBorder="1" applyAlignment="1">
      <alignment horizontal="center" vertical="center"/>
    </xf>
    <xf numFmtId="0" fontId="31" fillId="0" borderId="0" xfId="0" applyFont="1" applyAlignment="1">
      <alignment horizontal="center" vertical="top"/>
    </xf>
    <xf numFmtId="0" fontId="66" fillId="0" borderId="0" xfId="0" applyFont="1" applyBorder="1" applyAlignment="1">
      <alignment horizontal="center" vertical="top"/>
    </xf>
    <xf numFmtId="0" fontId="0" fillId="0" borderId="10" xfId="0" applyBorder="1" applyAlignment="1">
      <alignment horizontal="center" vertical="center"/>
    </xf>
    <xf numFmtId="0" fontId="16" fillId="0" borderId="10" xfId="0" quotePrefix="1" applyFont="1" applyBorder="1" applyAlignment="1">
      <alignment horizontal="center" vertical="center"/>
    </xf>
    <xf numFmtId="0" fontId="16" fillId="0" borderId="17" xfId="0" quotePrefix="1" applyFont="1" applyBorder="1" applyAlignment="1">
      <alignment horizontal="center" vertical="center"/>
    </xf>
    <xf numFmtId="0" fontId="16" fillId="0" borderId="16" xfId="0" quotePrefix="1" applyFont="1" applyBorder="1" applyAlignment="1">
      <alignment horizontal="center" vertical="center"/>
    </xf>
    <xf numFmtId="0" fontId="40" fillId="0" borderId="20" xfId="0" quotePrefix="1" applyFont="1" applyBorder="1" applyAlignment="1">
      <alignment horizontal="center" vertical="center"/>
    </xf>
    <xf numFmtId="0" fontId="33" fillId="0" borderId="11" xfId="0" applyFont="1" applyBorder="1" applyAlignment="1" applyProtection="1">
      <alignment horizontal="center" vertical="center"/>
      <protection locked="0"/>
    </xf>
    <xf numFmtId="0" fontId="33" fillId="0" borderId="20" xfId="0" applyFont="1" applyBorder="1" applyAlignment="1">
      <alignment horizontal="center" vertical="center"/>
    </xf>
    <xf numFmtId="0" fontId="33" fillId="0" borderId="11" xfId="0" applyFont="1" applyBorder="1" applyAlignment="1">
      <alignment horizontal="center" vertical="center"/>
    </xf>
    <xf numFmtId="0" fontId="33" fillId="0" borderId="13" xfId="0" applyFont="1" applyBorder="1" applyAlignment="1">
      <alignment horizontal="center" vertical="center"/>
    </xf>
    <xf numFmtId="2" fontId="0" fillId="0" borderId="21" xfId="0" applyNumberFormat="1" applyBorder="1" applyAlignment="1">
      <alignment horizontal="center" vertical="center"/>
    </xf>
    <xf numFmtId="2" fontId="0" fillId="0" borderId="14" xfId="0" applyNumberFormat="1" applyBorder="1" applyAlignment="1">
      <alignment horizontal="center" vertical="center"/>
    </xf>
    <xf numFmtId="0" fontId="0" fillId="0" borderId="21" xfId="0" applyBorder="1" applyAlignment="1">
      <alignment horizontal="center" vertical="center"/>
    </xf>
    <xf numFmtId="0" fontId="0" fillId="0" borderId="0" xfId="0" applyFill="1"/>
    <xf numFmtId="0" fontId="25" fillId="0" borderId="0" xfId="0" applyFont="1" applyBorder="1" applyAlignment="1">
      <alignment horizontal="center" vertical="center"/>
    </xf>
    <xf numFmtId="0" fontId="25" fillId="0" borderId="14" xfId="0" applyFont="1" applyBorder="1" applyAlignment="1">
      <alignment horizontal="center" vertical="center"/>
    </xf>
    <xf numFmtId="0" fontId="25" fillId="0" borderId="21" xfId="0" applyFont="1" applyBorder="1" applyAlignment="1">
      <alignment horizontal="center" vertical="center"/>
    </xf>
    <xf numFmtId="0" fontId="33" fillId="0" borderId="18" xfId="0" applyFont="1" applyBorder="1" applyAlignment="1" applyProtection="1">
      <alignment horizontal="left" vertical="center"/>
      <protection locked="0"/>
    </xf>
    <xf numFmtId="1" fontId="3" fillId="0" borderId="0" xfId="0" applyNumberFormat="1" applyFont="1" applyBorder="1" applyAlignment="1" applyProtection="1">
      <alignment horizontal="center" vertical="center"/>
      <protection locked="0"/>
    </xf>
    <xf numFmtId="1" fontId="3" fillId="0" borderId="14" xfId="0" applyNumberFormat="1" applyFont="1" applyBorder="1" applyAlignment="1">
      <alignment horizontal="center" vertical="center"/>
    </xf>
    <xf numFmtId="1" fontId="3" fillId="0" borderId="21" xfId="0" applyNumberFormat="1" applyFont="1" applyBorder="1" applyAlignment="1" applyProtection="1">
      <alignment horizontal="center" vertical="center"/>
      <protection locked="0"/>
    </xf>
    <xf numFmtId="1" fontId="3" fillId="0" borderId="21" xfId="0" applyNumberFormat="1" applyFont="1" applyBorder="1" applyAlignment="1">
      <alignment horizontal="center" vertical="center"/>
    </xf>
    <xf numFmtId="1" fontId="3" fillId="0" borderId="0" xfId="0" applyNumberFormat="1" applyFont="1" applyBorder="1" applyAlignment="1">
      <alignment horizontal="center" vertical="center"/>
    </xf>
    <xf numFmtId="0" fontId="33" fillId="0" borderId="15" xfId="0" applyFont="1" applyBorder="1" applyAlignment="1" applyProtection="1">
      <alignment vertical="center"/>
      <protection locked="0"/>
    </xf>
    <xf numFmtId="0" fontId="0" fillId="0" borderId="0" xfId="0" applyAlignment="1">
      <alignment horizontal="center" vertical="center"/>
    </xf>
    <xf numFmtId="1" fontId="33" fillId="0" borderId="0" xfId="0" applyNumberFormat="1" applyFont="1" applyAlignment="1" applyProtection="1">
      <alignment horizontal="center" vertical="center"/>
    </xf>
    <xf numFmtId="1" fontId="33" fillId="0" borderId="23" xfId="0" applyNumberFormat="1" applyFont="1" applyBorder="1" applyAlignment="1" applyProtection="1">
      <alignment horizontal="center" vertical="center"/>
    </xf>
    <xf numFmtId="1" fontId="33" fillId="0" borderId="14" xfId="0" applyNumberFormat="1" applyFont="1" applyBorder="1" applyAlignment="1">
      <alignment horizontal="center" vertical="center"/>
    </xf>
    <xf numFmtId="1" fontId="33" fillId="0" borderId="0" xfId="0" applyNumberFormat="1" applyFont="1" applyAlignment="1">
      <alignment horizontal="center" vertical="center"/>
    </xf>
    <xf numFmtId="1" fontId="3" fillId="0" borderId="0" xfId="0" applyNumberFormat="1" applyFont="1" applyAlignment="1">
      <alignment horizontal="center" vertical="center"/>
    </xf>
    <xf numFmtId="1" fontId="33" fillId="0" borderId="14" xfId="0" applyNumberFormat="1" applyFont="1" applyBorder="1" applyAlignment="1" applyProtection="1">
      <alignment horizontal="center" vertical="center"/>
    </xf>
    <xf numFmtId="1" fontId="0" fillId="0" borderId="14" xfId="0" applyNumberFormat="1" applyBorder="1" applyAlignment="1">
      <alignment horizontal="center" vertical="center"/>
    </xf>
    <xf numFmtId="0" fontId="33" fillId="0" borderId="19" xfId="0" applyFont="1" applyBorder="1" applyAlignment="1">
      <alignment vertical="center"/>
    </xf>
    <xf numFmtId="1" fontId="33" fillId="0" borderId="20" xfId="0" applyNumberFormat="1" applyFont="1" applyBorder="1" applyAlignment="1" applyProtection="1">
      <alignment horizontal="center" vertical="center"/>
    </xf>
    <xf numFmtId="1" fontId="33" fillId="0" borderId="11" xfId="0" applyNumberFormat="1" applyFont="1" applyBorder="1" applyAlignment="1" applyProtection="1">
      <alignment horizontal="center" vertical="center"/>
    </xf>
    <xf numFmtId="1" fontId="33" fillId="0" borderId="13" xfId="0" applyNumberFormat="1" applyFont="1" applyBorder="1" applyAlignment="1" applyProtection="1">
      <alignment horizontal="center" vertical="center"/>
    </xf>
    <xf numFmtId="0" fontId="41" fillId="0" borderId="15" xfId="0" quotePrefix="1" applyFont="1" applyBorder="1" applyAlignment="1">
      <alignment horizontal="center" vertical="center" wrapText="1"/>
    </xf>
    <xf numFmtId="164" fontId="3" fillId="0" borderId="0" xfId="0" applyNumberFormat="1" applyFont="1" applyBorder="1" applyAlignment="1" applyProtection="1">
      <alignment horizontal="center" vertical="center"/>
      <protection locked="0"/>
    </xf>
    <xf numFmtId="2" fontId="3" fillId="0" borderId="14" xfId="0" applyNumberFormat="1" applyFont="1" applyBorder="1" applyAlignment="1">
      <alignment horizontal="center" vertical="center"/>
    </xf>
    <xf numFmtId="164" fontId="3" fillId="0" borderId="0" xfId="0" applyNumberFormat="1" applyFont="1" applyBorder="1" applyAlignment="1">
      <alignment horizontal="center" vertical="center"/>
    </xf>
    <xf numFmtId="0" fontId="41" fillId="0" borderId="15" xfId="0" quotePrefix="1" applyFont="1" applyBorder="1" applyAlignment="1">
      <alignment horizontal="center" vertical="center"/>
    </xf>
    <xf numFmtId="0" fontId="38" fillId="0" borderId="0" xfId="0" applyFont="1" applyBorder="1" applyAlignment="1">
      <alignment horizontal="center" vertical="center"/>
    </xf>
    <xf numFmtId="0" fontId="38" fillId="0" borderId="14" xfId="0" applyFont="1" applyBorder="1" applyAlignment="1">
      <alignment horizontal="center" vertical="center"/>
    </xf>
    <xf numFmtId="0" fontId="38" fillId="0" borderId="21" xfId="0" applyFont="1" applyBorder="1" applyAlignment="1">
      <alignment horizontal="center" vertical="center"/>
    </xf>
    <xf numFmtId="0" fontId="3" fillId="0" borderId="0" xfId="0" quotePrefix="1" applyFont="1" applyBorder="1" applyAlignment="1" applyProtection="1">
      <alignment horizontal="center" vertical="center"/>
      <protection locked="0"/>
    </xf>
    <xf numFmtId="164" fontId="3" fillId="0" borderId="21" xfId="0" quotePrefix="1" applyNumberFormat="1" applyFont="1" applyBorder="1" applyAlignment="1" applyProtection="1">
      <alignment horizontal="center" vertical="center"/>
      <protection locked="0"/>
    </xf>
    <xf numFmtId="164" fontId="3" fillId="0" borderId="0" xfId="0" quotePrefix="1" applyNumberFormat="1" applyFont="1" applyBorder="1" applyAlignment="1">
      <alignment horizontal="center" vertical="center"/>
    </xf>
    <xf numFmtId="164" fontId="3" fillId="0" borderId="21" xfId="0" quotePrefix="1" applyNumberFormat="1" applyFont="1" applyFill="1" applyBorder="1" applyAlignment="1">
      <alignment horizontal="center" vertical="center"/>
    </xf>
    <xf numFmtId="164" fontId="3" fillId="0" borderId="0" xfId="0" quotePrefix="1" applyNumberFormat="1" applyFont="1" applyBorder="1" applyAlignment="1" applyProtection="1">
      <alignment horizontal="center" vertical="center"/>
      <protection locked="0"/>
    </xf>
    <xf numFmtId="164" fontId="3" fillId="0" borderId="21" xfId="0" applyNumberFormat="1" applyFont="1" applyBorder="1" applyAlignment="1" applyProtection="1">
      <alignment horizontal="center" vertical="center"/>
      <protection locked="0"/>
    </xf>
    <xf numFmtId="2" fontId="3" fillId="0" borderId="16" xfId="0" applyNumberFormat="1" applyFont="1" applyBorder="1" applyAlignment="1">
      <alignment horizontal="center" vertical="center"/>
    </xf>
    <xf numFmtId="0" fontId="33" fillId="0" borderId="15" xfId="0" applyFont="1" applyBorder="1" applyAlignment="1" applyProtection="1">
      <alignment horizontal="left" vertical="center"/>
      <protection locked="0"/>
    </xf>
    <xf numFmtId="1" fontId="33" fillId="0" borderId="0" xfId="0" applyNumberFormat="1" applyFont="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14" xfId="0" applyFont="1" applyBorder="1" applyAlignment="1">
      <alignment horizontal="center" vertical="center"/>
    </xf>
    <xf numFmtId="2" fontId="33" fillId="0" borderId="21" xfId="0" applyNumberFormat="1" applyFont="1" applyBorder="1" applyAlignment="1">
      <alignment horizontal="center" vertical="center"/>
    </xf>
    <xf numFmtId="2" fontId="33" fillId="0" borderId="14" xfId="0" applyNumberFormat="1" applyFont="1" applyBorder="1" applyAlignment="1">
      <alignment horizontal="center" vertical="center"/>
    </xf>
    <xf numFmtId="0" fontId="14" fillId="0" borderId="1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lignment horizontal="center" vertical="center"/>
    </xf>
    <xf numFmtId="2" fontId="3" fillId="0" borderId="21" xfId="0" applyNumberFormat="1" applyFont="1" applyBorder="1" applyAlignment="1">
      <alignment horizontal="center" vertical="center"/>
    </xf>
    <xf numFmtId="0" fontId="33" fillId="0" borderId="19" xfId="0" applyFont="1" applyBorder="1" applyAlignment="1" applyProtection="1">
      <alignment horizontal="center" vertical="center"/>
      <protection locked="0"/>
    </xf>
    <xf numFmtId="2" fontId="33" fillId="0" borderId="20" xfId="0" applyNumberFormat="1" applyFont="1" applyBorder="1" applyAlignment="1">
      <alignment horizontal="center" vertical="center"/>
    </xf>
    <xf numFmtId="2" fontId="33" fillId="0" borderId="13" xfId="0" applyNumberFormat="1" applyFont="1" applyBorder="1" applyAlignment="1">
      <alignment horizontal="center" vertical="center"/>
    </xf>
    <xf numFmtId="0" fontId="36" fillId="0" borderId="18" xfId="0" applyFont="1" applyBorder="1" applyAlignment="1">
      <alignment vertical="center"/>
    </xf>
    <xf numFmtId="0" fontId="33" fillId="0" borderId="18" xfId="0" applyFont="1" applyBorder="1" applyAlignment="1" applyProtection="1">
      <alignment horizontal="center" vertical="center"/>
      <protection locked="0"/>
    </xf>
    <xf numFmtId="0" fontId="33" fillId="0" borderId="0" xfId="0" applyFont="1" applyBorder="1" applyAlignment="1">
      <alignment horizontal="center" vertical="center"/>
    </xf>
    <xf numFmtId="0" fontId="33" fillId="0" borderId="21"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15" xfId="0" applyFont="1" applyBorder="1" applyAlignment="1">
      <alignment horizontal="center" vertical="center"/>
    </xf>
    <xf numFmtId="0" fontId="33" fillId="0" borderId="15" xfId="0" applyFont="1" applyBorder="1" applyAlignment="1" applyProtection="1">
      <alignment horizontal="center" vertical="center"/>
      <protection locked="0"/>
    </xf>
    <xf numFmtId="0" fontId="33" fillId="0" borderId="15" xfId="0" applyFont="1" applyBorder="1" applyAlignment="1">
      <alignment horizontal="center" vertical="center"/>
    </xf>
    <xf numFmtId="0" fontId="33" fillId="0" borderId="19" xfId="0" applyFont="1" applyBorder="1" applyAlignment="1">
      <alignment horizontal="center" vertical="center"/>
    </xf>
    <xf numFmtId="0" fontId="14" fillId="0" borderId="15" xfId="0" applyFont="1" applyBorder="1" applyAlignment="1">
      <alignment horizontal="center" vertical="center"/>
    </xf>
    <xf numFmtId="0" fontId="3" fillId="0" borderId="21" xfId="0" applyFont="1" applyBorder="1" applyAlignment="1">
      <alignment horizontal="center" vertical="center"/>
    </xf>
    <xf numFmtId="2" fontId="3" fillId="0" borderId="14" xfId="0" applyNumberFormat="1" applyFont="1" applyBorder="1" applyAlignment="1" applyProtection="1">
      <alignment horizontal="center" vertical="center"/>
    </xf>
    <xf numFmtId="2" fontId="3" fillId="0" borderId="15" xfId="0" applyNumberFormat="1" applyFont="1" applyBorder="1" applyAlignment="1" applyProtection="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2" fontId="33" fillId="0" borderId="19" xfId="0" applyNumberFormat="1" applyFont="1" applyBorder="1" applyAlignment="1">
      <alignment horizontal="center" vertical="center"/>
    </xf>
    <xf numFmtId="0" fontId="33" fillId="0" borderId="0" xfId="0" applyFont="1" applyAlignment="1">
      <alignment horizontal="center" vertical="center"/>
    </xf>
    <xf numFmtId="0" fontId="33" fillId="0" borderId="21" xfId="0" applyFont="1" applyBorder="1" applyAlignment="1">
      <alignment horizontal="center" vertical="center"/>
    </xf>
    <xf numFmtId="0" fontId="3" fillId="0" borderId="0" xfId="0" applyFont="1" applyAlignment="1">
      <alignment horizontal="center" vertical="center"/>
    </xf>
    <xf numFmtId="0" fontId="33" fillId="0" borderId="14"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7" xfId="0" applyFont="1" applyBorder="1" applyAlignment="1" applyProtection="1">
      <alignment horizontal="center" vertical="center"/>
      <protection locked="0"/>
    </xf>
    <xf numFmtId="0" fontId="25" fillId="0" borderId="0" xfId="0" applyFont="1" applyAlignment="1">
      <alignment horizontal="center" vertical="center"/>
    </xf>
    <xf numFmtId="0" fontId="25" fillId="0" borderId="23" xfId="0" applyFont="1" applyBorder="1" applyAlignment="1">
      <alignment horizontal="center" vertical="center"/>
    </xf>
    <xf numFmtId="0" fontId="33" fillId="0" borderId="22" xfId="0" applyFont="1" applyBorder="1" applyAlignment="1">
      <alignment horizontal="center" vertical="center"/>
    </xf>
    <xf numFmtId="0" fontId="3" fillId="0" borderId="0" xfId="0" applyFont="1" applyAlignment="1" applyProtection="1">
      <alignment horizontal="center" vertical="center"/>
      <protection locked="0"/>
    </xf>
    <xf numFmtId="0" fontId="33" fillId="0" borderId="19" xfId="0" applyFont="1" applyBorder="1" applyAlignment="1">
      <alignment horizontal="center" vertical="center" wrapText="1"/>
    </xf>
    <xf numFmtId="0" fontId="33" fillId="0" borderId="16" xfId="0" applyFont="1" applyBorder="1" applyAlignment="1">
      <alignment horizontal="center" vertical="center"/>
    </xf>
    <xf numFmtId="0" fontId="0" fillId="0" borderId="20" xfId="0" applyBorder="1" applyAlignment="1" applyProtection="1">
      <alignment vertical="center"/>
      <protection locked="0"/>
    </xf>
    <xf numFmtId="0" fontId="33" fillId="0" borderId="13" xfId="0" applyFont="1" applyBorder="1" applyAlignment="1" applyProtection="1">
      <alignment horizontal="center" vertical="center"/>
      <protection locked="0"/>
    </xf>
    <xf numFmtId="0" fontId="26" fillId="0" borderId="0" xfId="0" applyFont="1" applyAlignment="1" applyProtection="1">
      <alignment vertical="top"/>
      <protection locked="0"/>
    </xf>
    <xf numFmtId="0" fontId="62" fillId="0" borderId="21" xfId="0" applyFont="1" applyBorder="1" applyAlignment="1">
      <alignment horizontal="center" vertical="center"/>
    </xf>
    <xf numFmtId="0" fontId="62" fillId="0" borderId="18" xfId="0" applyFont="1" applyBorder="1" applyAlignment="1">
      <alignment horizontal="center" vertical="center"/>
    </xf>
    <xf numFmtId="0" fontId="16" fillId="0" borderId="14" xfId="0" applyFont="1" applyBorder="1" applyAlignment="1">
      <alignment horizontal="center" vertical="center"/>
    </xf>
    <xf numFmtId="0" fontId="0" fillId="0" borderId="0" xfId="0" applyAlignment="1" applyProtection="1">
      <alignment horizontal="center" vertical="center"/>
      <protection locked="0"/>
    </xf>
    <xf numFmtId="0" fontId="33" fillId="0" borderId="21" xfId="0" applyFont="1" applyBorder="1" applyAlignment="1">
      <alignment vertical="center"/>
    </xf>
    <xf numFmtId="0" fontId="14" fillId="0" borderId="21" xfId="0" applyFont="1" applyBorder="1" applyAlignment="1">
      <alignment vertical="center"/>
    </xf>
    <xf numFmtId="0" fontId="33" fillId="0" borderId="21" xfId="0" applyFont="1" applyBorder="1" applyAlignment="1">
      <alignment horizontal="left" vertical="center"/>
    </xf>
    <xf numFmtId="0" fontId="33" fillId="24" borderId="20" xfId="0" applyFont="1" applyFill="1" applyBorder="1" applyAlignment="1">
      <alignment vertical="center"/>
    </xf>
    <xf numFmtId="0" fontId="33" fillId="24" borderId="11" xfId="0" applyFont="1" applyFill="1" applyBorder="1" applyAlignment="1">
      <alignment horizontal="center" vertical="center"/>
    </xf>
    <xf numFmtId="0" fontId="33" fillId="24" borderId="13" xfId="0" applyFont="1" applyFill="1" applyBorder="1" applyAlignment="1">
      <alignment horizontal="center" vertical="center"/>
    </xf>
    <xf numFmtId="0" fontId="33" fillId="24" borderId="20" xfId="0" applyFont="1" applyFill="1" applyBorder="1" applyAlignment="1">
      <alignment horizontal="center" vertical="center"/>
    </xf>
    <xf numFmtId="0" fontId="33" fillId="0" borderId="15" xfId="0" applyFont="1" applyBorder="1" applyAlignment="1">
      <alignment vertical="center"/>
    </xf>
    <xf numFmtId="2" fontId="33" fillId="0" borderId="0" xfId="0" applyNumberFormat="1" applyFont="1" applyBorder="1" applyAlignment="1">
      <alignment horizontal="center" vertical="center"/>
    </xf>
    <xf numFmtId="0" fontId="26" fillId="0" borderId="15" xfId="0" applyFont="1" applyBorder="1" applyAlignment="1">
      <alignment vertical="center"/>
    </xf>
    <xf numFmtId="2" fontId="0" fillId="0" borderId="0" xfId="0" applyNumberFormat="1" applyBorder="1" applyAlignment="1">
      <alignment horizontal="center" vertical="center"/>
    </xf>
    <xf numFmtId="0" fontId="26" fillId="0" borderId="22" xfId="0" applyFont="1" applyBorder="1" applyAlignment="1">
      <alignment vertical="center"/>
    </xf>
    <xf numFmtId="2" fontId="0" fillId="0" borderId="17" xfId="0" applyNumberFormat="1" applyBorder="1" applyAlignment="1">
      <alignment horizontal="center" vertical="center"/>
    </xf>
    <xf numFmtId="2" fontId="0" fillId="0" borderId="10" xfId="0" applyNumberFormat="1" applyBorder="1" applyAlignment="1">
      <alignment horizontal="center" vertical="center"/>
    </xf>
    <xf numFmtId="2" fontId="0" fillId="0" borderId="16" xfId="0" applyNumberFormat="1" applyBorder="1" applyAlignment="1">
      <alignment horizontal="center" vertical="center"/>
    </xf>
    <xf numFmtId="0" fontId="16" fillId="0" borderId="22" xfId="0" applyFont="1" applyBorder="1" applyAlignment="1">
      <alignment horizontal="center" vertical="center"/>
    </xf>
    <xf numFmtId="0" fontId="26" fillId="0" borderId="22" xfId="0" applyFont="1" applyBorder="1" applyAlignment="1">
      <alignment horizontal="center" vertical="center"/>
    </xf>
    <xf numFmtId="0" fontId="0" fillId="0" borderId="17" xfId="0" applyBorder="1" applyAlignment="1" applyProtection="1">
      <alignment horizontal="center" vertical="center"/>
      <protection locked="0"/>
    </xf>
    <xf numFmtId="0" fontId="21" fillId="0" borderId="21" xfId="0" applyFont="1" applyBorder="1" applyAlignment="1">
      <alignment vertical="center"/>
    </xf>
    <xf numFmtId="0" fontId="21" fillId="0" borderId="0" xfId="0" applyFont="1" applyBorder="1" applyAlignment="1">
      <alignment vertical="center"/>
    </xf>
    <xf numFmtId="0" fontId="0" fillId="0" borderId="0" xfId="0" applyBorder="1" applyAlignment="1" applyProtection="1">
      <alignment vertical="center"/>
      <protection locked="0"/>
    </xf>
    <xf numFmtId="0" fontId="0" fillId="0" borderId="14" xfId="0" applyBorder="1" applyAlignment="1" applyProtection="1">
      <alignment vertical="center"/>
      <protection locked="0"/>
    </xf>
    <xf numFmtId="0" fontId="26" fillId="0" borderId="21" xfId="0" quotePrefix="1" applyFont="1" applyBorder="1" applyAlignment="1">
      <alignment horizontal="center" vertical="center"/>
    </xf>
    <xf numFmtId="0" fontId="26" fillId="0" borderId="0" xfId="0" applyFont="1" applyBorder="1" applyAlignment="1">
      <alignment vertical="center"/>
    </xf>
    <xf numFmtId="2" fontId="0" fillId="0" borderId="14" xfId="0" applyNumberFormat="1" applyBorder="1" applyAlignment="1" applyProtection="1">
      <alignment horizontal="center" vertical="center"/>
      <protection locked="0"/>
    </xf>
    <xf numFmtId="0" fontId="26" fillId="0" borderId="21" xfId="0" applyFont="1" applyBorder="1" applyAlignment="1">
      <alignment vertical="center"/>
    </xf>
    <xf numFmtId="0" fontId="0" fillId="0" borderId="20" xfId="0" quotePrefix="1" applyBorder="1" applyAlignment="1">
      <alignment horizontal="center" vertical="center"/>
    </xf>
    <xf numFmtId="0" fontId="21" fillId="0" borderId="24" xfId="0" applyFont="1" applyBorder="1" applyAlignment="1">
      <alignment vertical="center"/>
    </xf>
    <xf numFmtId="2" fontId="0" fillId="0" borderId="23" xfId="0" applyNumberFormat="1" applyBorder="1" applyAlignment="1" applyProtection="1">
      <alignment horizontal="center" vertical="center"/>
      <protection locked="0"/>
    </xf>
    <xf numFmtId="0" fontId="26" fillId="0" borderId="21" xfId="0" quotePrefix="1" applyFont="1" applyBorder="1" applyAlignment="1">
      <alignment vertical="center"/>
    </xf>
    <xf numFmtId="0" fontId="2" fillId="0" borderId="20" xfId="0" applyFont="1" applyBorder="1" applyAlignment="1">
      <alignment vertical="center"/>
    </xf>
    <xf numFmtId="0" fontId="0" fillId="0" borderId="23" xfId="0" applyBorder="1" applyAlignment="1">
      <alignment horizontal="center" vertical="center"/>
    </xf>
    <xf numFmtId="0" fontId="0" fillId="0" borderId="1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2" fillId="0" borderId="15" xfId="0" applyFont="1" applyBorder="1" applyAlignment="1">
      <alignment horizontal="center" vertical="center"/>
    </xf>
    <xf numFmtId="2" fontId="0" fillId="0" borderId="15" xfId="0" applyNumberFormat="1" applyBorder="1" applyAlignment="1">
      <alignment horizontal="center" vertical="center"/>
    </xf>
    <xf numFmtId="0" fontId="16" fillId="0" borderId="0" xfId="0" applyFont="1" applyBorder="1" applyAlignment="1">
      <alignment horizontal="center" vertical="center"/>
    </xf>
    <xf numFmtId="0" fontId="34" fillId="0" borderId="22" xfId="0" applyFont="1" applyBorder="1" applyAlignment="1">
      <alignment horizontal="center" vertical="center" wrapText="1"/>
    </xf>
    <xf numFmtId="0" fontId="26" fillId="0" borderId="21"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vertical="top"/>
    </xf>
    <xf numFmtId="0" fontId="0" fillId="0" borderId="12" xfId="0" applyBorder="1" applyAlignment="1">
      <alignment vertical="top"/>
    </xf>
    <xf numFmtId="0" fontId="0" fillId="0" borderId="21" xfId="0" applyBorder="1" applyAlignment="1">
      <alignment vertical="center"/>
    </xf>
    <xf numFmtId="0" fontId="26" fillId="0" borderId="17" xfId="0" applyFont="1" applyBorder="1" applyAlignment="1">
      <alignment vertical="center"/>
    </xf>
    <xf numFmtId="0" fontId="0" fillId="0" borderId="15" xfId="0" applyBorder="1" applyAlignment="1">
      <alignment vertical="center"/>
    </xf>
    <xf numFmtId="0" fontId="24" fillId="0" borderId="15" xfId="0" applyFont="1" applyBorder="1" applyAlignment="1">
      <alignment horizontal="center" vertical="center"/>
    </xf>
    <xf numFmtId="0" fontId="24" fillId="0" borderId="22" xfId="0" applyFont="1" applyBorder="1" applyAlignment="1">
      <alignment horizontal="center" vertical="center"/>
    </xf>
    <xf numFmtId="0" fontId="16" fillId="0" borderId="15" xfId="0" applyFont="1" applyBorder="1" applyAlignment="1">
      <alignment horizontal="center" vertical="center"/>
    </xf>
    <xf numFmtId="164" fontId="0" fillId="0" borderId="14" xfId="0" applyNumberFormat="1" applyBorder="1" applyAlignment="1">
      <alignment horizontal="center" vertical="center"/>
    </xf>
    <xf numFmtId="0" fontId="63" fillId="0" borderId="0" xfId="0" applyFont="1" applyBorder="1" applyAlignment="1">
      <alignment horizontal="center" vertical="top" wrapText="1"/>
    </xf>
    <xf numFmtId="0" fontId="62" fillId="0" borderId="15" xfId="0" applyFont="1" applyBorder="1" applyAlignment="1">
      <alignment horizontal="center" vertical="center"/>
    </xf>
    <xf numFmtId="0" fontId="32" fillId="0" borderId="13" xfId="0" applyFont="1" applyBorder="1" applyAlignment="1">
      <alignment horizontal="center" vertical="center"/>
    </xf>
    <xf numFmtId="0" fontId="0" fillId="0" borderId="12" xfId="0" applyBorder="1" applyAlignment="1">
      <alignment horizontal="center" vertical="center"/>
    </xf>
    <xf numFmtId="0" fontId="16" fillId="0" borderId="0" xfId="0" applyFont="1"/>
    <xf numFmtId="0" fontId="28" fillId="0" borderId="0" xfId="0" applyFont="1" applyBorder="1" applyAlignment="1">
      <alignment horizontal="left" vertical="center"/>
    </xf>
    <xf numFmtId="0" fontId="26" fillId="0" borderId="16" xfId="0" applyFont="1" applyBorder="1" applyAlignment="1">
      <alignment horizontal="center" vertical="center"/>
    </xf>
    <xf numFmtId="0" fontId="26" fillId="0" borderId="0" xfId="0" applyFont="1" applyBorder="1" applyAlignment="1">
      <alignment horizontal="center" vertical="center"/>
    </xf>
    <xf numFmtId="0" fontId="26" fillId="0" borderId="10" xfId="0" applyFont="1" applyBorder="1" applyAlignment="1">
      <alignment horizontal="center" vertical="center"/>
    </xf>
    <xf numFmtId="0" fontId="62" fillId="0" borderId="17" xfId="0" applyFont="1" applyBorder="1" applyAlignment="1">
      <alignment horizontal="center" vertical="center"/>
    </xf>
    <xf numFmtId="0" fontId="62" fillId="0" borderId="22" xfId="0" applyFont="1" applyBorder="1" applyAlignment="1">
      <alignment horizontal="center" vertical="center"/>
    </xf>
    <xf numFmtId="0" fontId="26" fillId="0" borderId="18" xfId="0" applyFont="1" applyBorder="1" applyAlignment="1">
      <alignment horizontal="center" vertical="center"/>
    </xf>
    <xf numFmtId="0" fontId="26" fillId="0" borderId="15" xfId="0" applyFont="1" applyBorder="1" applyAlignment="1">
      <alignment horizontal="left" vertical="center"/>
    </xf>
    <xf numFmtId="0" fontId="26" fillId="0" borderId="22" xfId="0" applyFont="1" applyBorder="1" applyAlignment="1">
      <alignment horizontal="left" vertical="center"/>
    </xf>
    <xf numFmtId="0" fontId="3" fillId="0" borderId="12" xfId="0" applyFont="1" applyBorder="1" applyAlignment="1">
      <alignment horizontal="center" vertical="center"/>
    </xf>
    <xf numFmtId="0" fontId="69" fillId="0" borderId="22" xfId="0" quotePrefix="1" applyFont="1" applyBorder="1" applyAlignment="1">
      <alignment horizontal="center" vertical="center" wrapText="1"/>
    </xf>
    <xf numFmtId="0" fontId="25" fillId="0" borderId="18" xfId="0" applyFont="1" applyBorder="1" applyAlignment="1">
      <alignment horizontal="center" vertical="center"/>
    </xf>
    <xf numFmtId="0" fontId="22" fillId="0" borderId="19" xfId="0" quotePrefix="1" applyFont="1" applyBorder="1" applyAlignment="1">
      <alignment horizontal="center" vertical="center"/>
    </xf>
    <xf numFmtId="0" fontId="22" fillId="0" borderId="13" xfId="0" quotePrefix="1" applyFont="1" applyBorder="1" applyAlignment="1">
      <alignment horizontal="center" vertical="center"/>
    </xf>
    <xf numFmtId="0" fontId="0" fillId="0" borderId="19" xfId="0" applyFill="1" applyBorder="1" applyAlignment="1">
      <alignment horizontal="center" vertical="center"/>
    </xf>
    <xf numFmtId="14" fontId="0" fillId="0" borderId="15" xfId="0" quotePrefix="1" applyNumberFormat="1" applyBorder="1" applyAlignment="1">
      <alignment horizontal="center" vertical="center"/>
    </xf>
    <xf numFmtId="14" fontId="0" fillId="0" borderId="22" xfId="0" quotePrefix="1" applyNumberFormat="1" applyBorder="1" applyAlignment="1">
      <alignment horizontal="center" vertical="center"/>
    </xf>
    <xf numFmtId="1" fontId="33" fillId="0" borderId="13" xfId="0" applyNumberFormat="1" applyFont="1" applyBorder="1" applyAlignment="1">
      <alignment horizontal="center" vertical="center"/>
    </xf>
    <xf numFmtId="1" fontId="33" fillId="0" borderId="21" xfId="0" applyNumberFormat="1" applyFont="1" applyBorder="1" applyAlignment="1">
      <alignment horizontal="center" vertical="center"/>
    </xf>
    <xf numFmtId="1" fontId="33" fillId="0" borderId="0" xfId="0" applyNumberFormat="1" applyFont="1" applyBorder="1" applyAlignment="1">
      <alignment horizontal="center" vertical="center"/>
    </xf>
    <xf numFmtId="164" fontId="72" fillId="0" borderId="11" xfId="0" applyNumberFormat="1" applyFont="1" applyBorder="1" applyAlignment="1">
      <alignment horizontal="center" vertical="center"/>
    </xf>
    <xf numFmtId="2" fontId="72" fillId="0" borderId="13" xfId="0" applyNumberFormat="1" applyFont="1" applyBorder="1" applyAlignment="1">
      <alignment horizontal="center" vertical="center"/>
    </xf>
    <xf numFmtId="164" fontId="72" fillId="0" borderId="20" xfId="0" applyNumberFormat="1" applyFont="1" applyBorder="1" applyAlignment="1">
      <alignment horizontal="center" vertical="center"/>
    </xf>
    <xf numFmtId="2" fontId="72" fillId="0" borderId="16" xfId="0" applyNumberFormat="1" applyFont="1" applyBorder="1" applyAlignment="1">
      <alignment horizontal="center" vertical="center"/>
    </xf>
    <xf numFmtId="0" fontId="26" fillId="0" borderId="0" xfId="0" applyFont="1" applyBorder="1" applyAlignment="1">
      <alignment horizontal="left" vertical="top" wrapText="1"/>
    </xf>
    <xf numFmtId="0" fontId="26" fillId="0" borderId="0" xfId="0" applyFont="1" applyBorder="1" applyAlignment="1">
      <alignment horizontal="center" vertical="center" wrapText="1"/>
    </xf>
    <xf numFmtId="0" fontId="0" fillId="0" borderId="10" xfId="0" applyBorder="1" applyAlignment="1"/>
    <xf numFmtId="0" fontId="2" fillId="0" borderId="22" xfId="0" applyFont="1" applyBorder="1" applyAlignment="1">
      <alignment horizontal="center" vertical="center"/>
    </xf>
    <xf numFmtId="0" fontId="33" fillId="0" borderId="10" xfId="0" applyFont="1" applyBorder="1" applyAlignment="1">
      <alignment horizontal="center" vertical="center"/>
    </xf>
    <xf numFmtId="0" fontId="6" fillId="0" borderId="0" xfId="0" applyFont="1" applyAlignment="1"/>
    <xf numFmtId="0" fontId="15" fillId="0" borderId="0" xfId="0" applyFont="1" applyAlignment="1">
      <alignment horizontal="center"/>
    </xf>
    <xf numFmtId="0" fontId="16" fillId="0" borderId="17" xfId="0" quotePrefix="1" applyFont="1" applyBorder="1" applyAlignment="1" applyProtection="1">
      <alignment horizontal="center" vertical="center"/>
      <protection locked="0"/>
    </xf>
    <xf numFmtId="0" fontId="16" fillId="0" borderId="10" xfId="0" quotePrefix="1" applyFont="1" applyBorder="1" applyAlignment="1" applyProtection="1">
      <alignment horizontal="center" vertical="center"/>
      <protection locked="0"/>
    </xf>
    <xf numFmtId="0" fontId="16" fillId="0" borderId="16" xfId="0" quotePrefix="1" applyFont="1" applyBorder="1" applyAlignment="1" applyProtection="1">
      <alignment horizontal="center" vertical="center"/>
      <protection locked="0"/>
    </xf>
    <xf numFmtId="0" fontId="12" fillId="0" borderId="0" xfId="0" applyFont="1" applyBorder="1" applyAlignment="1">
      <alignment horizontal="center" vertical="center"/>
    </xf>
    <xf numFmtId="0" fontId="0" fillId="0" borderId="18" xfId="0" applyBorder="1" applyAlignment="1" applyProtection="1">
      <alignment horizontal="center" vertical="center"/>
      <protection locked="0"/>
    </xf>
    <xf numFmtId="0" fontId="40" fillId="0" borderId="19" xfId="0" quotePrefix="1" applyFont="1" applyBorder="1" applyAlignment="1">
      <alignment horizontal="center" vertical="center"/>
    </xf>
    <xf numFmtId="0" fontId="14" fillId="0" borderId="15" xfId="0" applyFont="1" applyBorder="1" applyAlignment="1">
      <alignment vertical="center"/>
    </xf>
    <xf numFmtId="0" fontId="33" fillId="0" borderId="15" xfId="0" applyFont="1" applyBorder="1" applyAlignment="1">
      <alignment horizontal="left" vertical="center"/>
    </xf>
    <xf numFmtId="0" fontId="79" fillId="0" borderId="0" xfId="0" applyFont="1" applyBorder="1" applyAlignment="1">
      <alignment horizontal="center" vertical="top"/>
    </xf>
    <xf numFmtId="0" fontId="14" fillId="0" borderId="22" xfId="0" applyFont="1" applyBorder="1" applyAlignment="1">
      <alignment vertical="center"/>
    </xf>
    <xf numFmtId="0" fontId="33" fillId="24" borderId="19" xfId="0" applyFont="1" applyFill="1" applyBorder="1" applyAlignment="1">
      <alignment vertical="center"/>
    </xf>
    <xf numFmtId="0" fontId="14" fillId="0" borderId="0" xfId="0" applyFont="1" applyBorder="1" applyAlignment="1">
      <alignment horizontal="center" vertical="center"/>
    </xf>
    <xf numFmtId="0" fontId="27" fillId="0" borderId="0" xfId="0" applyFont="1" applyAlignment="1">
      <alignment horizontal="right"/>
    </xf>
    <xf numFmtId="0" fontId="74" fillId="0" borderId="0" xfId="0" applyFont="1" applyAlignment="1">
      <alignment vertical="center"/>
    </xf>
    <xf numFmtId="0" fontId="0" fillId="0" borderId="0" xfId="0" applyAlignment="1">
      <alignment vertical="center"/>
    </xf>
    <xf numFmtId="0" fontId="26" fillId="0" borderId="0" xfId="0" applyFont="1" applyBorder="1" applyAlignment="1">
      <alignment horizontal="right" vertical="center"/>
    </xf>
    <xf numFmtId="0" fontId="26" fillId="0" borderId="0" xfId="0" applyFont="1" applyBorder="1" applyAlignment="1">
      <alignment horizontal="left" vertical="center"/>
    </xf>
    <xf numFmtId="0" fontId="25" fillId="0" borderId="20" xfId="0" applyFont="1" applyBorder="1" applyAlignment="1">
      <alignment horizontal="center" vertical="center"/>
    </xf>
    <xf numFmtId="0" fontId="0" fillId="0" borderId="21" xfId="0" applyFill="1" applyBorder="1" applyAlignment="1">
      <alignment horizontal="center" vertical="center"/>
    </xf>
    <xf numFmtId="2" fontId="8" fillId="0" borderId="0" xfId="0" applyNumberFormat="1" applyFont="1" applyBorder="1" applyAlignment="1">
      <alignment horizontal="center" vertical="center"/>
    </xf>
    <xf numFmtId="0" fontId="14" fillId="0" borderId="21" xfId="0" applyFont="1" applyBorder="1" applyAlignment="1">
      <alignment horizontal="center" vertical="center"/>
    </xf>
    <xf numFmtId="0" fontId="65" fillId="0" borderId="10" xfId="0" applyFont="1" applyBorder="1" applyAlignment="1">
      <alignment horizontal="center" vertical="center" wrapText="1"/>
    </xf>
    <xf numFmtId="0" fontId="44" fillId="0" borderId="15" xfId="0" applyFont="1" applyBorder="1" applyAlignment="1">
      <alignment horizontal="center" vertical="center"/>
    </xf>
    <xf numFmtId="0" fontId="22" fillId="0" borderId="15" xfId="0" applyFont="1" applyBorder="1" applyAlignment="1">
      <alignment horizontal="center" vertical="center"/>
    </xf>
    <xf numFmtId="0" fontId="25" fillId="0" borderId="17" xfId="0" applyFont="1" applyBorder="1" applyAlignment="1">
      <alignment horizontal="center" vertical="center"/>
    </xf>
    <xf numFmtId="0" fontId="25" fillId="0" borderId="10" xfId="0" applyFont="1" applyBorder="1" applyAlignment="1">
      <alignment horizontal="center" vertical="center"/>
    </xf>
    <xf numFmtId="0" fontId="25" fillId="0" borderId="16" xfId="0" applyFont="1" applyBorder="1" applyAlignment="1">
      <alignment horizontal="center" vertical="center"/>
    </xf>
    <xf numFmtId="0" fontId="67" fillId="0" borderId="0" xfId="0" applyFont="1" applyBorder="1" applyAlignment="1">
      <alignment horizontal="center"/>
    </xf>
    <xf numFmtId="0" fontId="25" fillId="0" borderId="18" xfId="0" applyFont="1" applyBorder="1" applyAlignment="1">
      <alignment horizontal="center" vertical="center" wrapText="1"/>
    </xf>
    <xf numFmtId="0" fontId="16" fillId="0" borderId="11" xfId="0" quotePrefix="1" applyFont="1" applyBorder="1" applyAlignment="1" applyProtection="1">
      <alignment horizontal="center" vertical="center"/>
      <protection locked="0"/>
    </xf>
    <xf numFmtId="0" fontId="16" fillId="0" borderId="13" xfId="0" quotePrefix="1" applyFont="1" applyBorder="1" applyAlignment="1" applyProtection="1">
      <alignment horizontal="center" vertical="center"/>
      <protection locked="0"/>
    </xf>
    <xf numFmtId="0" fontId="50" fillId="0" borderId="21" xfId="0" applyFont="1" applyBorder="1" applyAlignment="1">
      <alignment horizontal="center" vertical="center"/>
    </xf>
    <xf numFmtId="0" fontId="74" fillId="0" borderId="10" xfId="0" applyFont="1" applyBorder="1" applyAlignment="1">
      <alignment horizontal="center" vertical="center"/>
    </xf>
    <xf numFmtId="0" fontId="74" fillId="0" borderId="0" xfId="0" applyFont="1" applyBorder="1" applyAlignment="1">
      <alignment horizontal="center" vertical="center"/>
    </xf>
    <xf numFmtId="0" fontId="33" fillId="0" borderId="24" xfId="0" applyFont="1" applyBorder="1" applyAlignment="1">
      <alignment horizontal="center" vertical="center"/>
    </xf>
    <xf numFmtId="0" fontId="69" fillId="0" borderId="20" xfId="0" quotePrefix="1" applyFont="1" applyBorder="1" applyAlignment="1">
      <alignment horizontal="center" vertical="center" wrapText="1"/>
    </xf>
    <xf numFmtId="0" fontId="2" fillId="0" borderId="21" xfId="0" applyFont="1" applyBorder="1" applyAlignment="1">
      <alignment horizontal="center" vertical="center"/>
    </xf>
    <xf numFmtId="0" fontId="26" fillId="0" borderId="12" xfId="0" applyFont="1" applyBorder="1" applyAlignment="1">
      <alignment horizontal="right" vertical="center"/>
    </xf>
    <xf numFmtId="0" fontId="26" fillId="0" borderId="0" xfId="0" applyFont="1" applyAlignment="1">
      <alignment horizontal="right" vertical="center"/>
    </xf>
    <xf numFmtId="0" fontId="25" fillId="0" borderId="22" xfId="0" applyFont="1" applyBorder="1" applyAlignment="1">
      <alignment horizontal="center" vertical="center" wrapText="1"/>
    </xf>
    <xf numFmtId="0" fontId="33" fillId="0" borderId="13" xfId="0" quotePrefix="1" applyFont="1" applyBorder="1" applyAlignment="1">
      <alignment horizontal="center" vertical="center"/>
    </xf>
    <xf numFmtId="0" fontId="32" fillId="0" borderId="20" xfId="0" applyFont="1" applyBorder="1" applyAlignment="1">
      <alignment vertical="center"/>
    </xf>
    <xf numFmtId="0" fontId="34" fillId="0" borderId="21" xfId="0" applyFont="1" applyBorder="1" applyAlignment="1">
      <alignment horizontal="center" vertical="center"/>
    </xf>
    <xf numFmtId="0" fontId="26" fillId="0" borderId="14" xfId="0" applyFont="1" applyBorder="1" applyAlignment="1">
      <alignment vertical="center"/>
    </xf>
    <xf numFmtId="0" fontId="26" fillId="0" borderId="16" xfId="0" applyFont="1" applyBorder="1" applyAlignment="1">
      <alignment vertical="center"/>
    </xf>
    <xf numFmtId="0" fontId="62" fillId="0" borderId="15" xfId="0" applyFont="1" applyBorder="1" applyAlignment="1">
      <alignment horizontal="left" vertical="center"/>
    </xf>
    <xf numFmtId="0" fontId="0" fillId="0" borderId="15" xfId="0" applyFill="1" applyBorder="1" applyAlignment="1">
      <alignment horizontal="center" vertical="center"/>
    </xf>
    <xf numFmtId="0" fontId="0" fillId="0" borderId="0" xfId="0" applyBorder="1" applyAlignment="1">
      <alignment vertical="center"/>
    </xf>
    <xf numFmtId="0" fontId="11" fillId="0" borderId="19" xfId="0" applyFont="1" applyBorder="1" applyAlignment="1">
      <alignment horizontal="center" vertical="center"/>
    </xf>
    <xf numFmtId="0" fontId="11" fillId="0" borderId="13" xfId="0" applyFont="1" applyBorder="1" applyAlignment="1">
      <alignment horizontal="center" vertical="center"/>
    </xf>
    <xf numFmtId="0" fontId="12" fillId="0" borderId="22" xfId="0" quotePrefix="1" applyFont="1" applyBorder="1" applyAlignment="1">
      <alignment horizontal="center" vertical="center"/>
    </xf>
    <xf numFmtId="0" fontId="12" fillId="0" borderId="16" xfId="0" quotePrefix="1" applyFont="1" applyBorder="1" applyAlignment="1">
      <alignment horizontal="center" vertical="center"/>
    </xf>
    <xf numFmtId="0" fontId="13" fillId="0" borderId="15" xfId="0" applyFont="1" applyBorder="1" applyAlignment="1">
      <alignment vertical="center"/>
    </xf>
    <xf numFmtId="0" fontId="15" fillId="0" borderId="14" xfId="0" applyFont="1" applyBorder="1" applyAlignment="1">
      <alignment horizontal="center" vertical="center"/>
    </xf>
    <xf numFmtId="0" fontId="17" fillId="0" borderId="15" xfId="0" quotePrefix="1" applyFont="1" applyBorder="1" applyAlignment="1">
      <alignment horizontal="center" vertical="center"/>
    </xf>
    <xf numFmtId="0" fontId="14" fillId="0" borderId="15" xfId="0" applyFont="1" applyBorder="1" applyAlignment="1">
      <alignment vertical="center" wrapText="1"/>
    </xf>
    <xf numFmtId="0" fontId="17" fillId="0" borderId="22" xfId="0" applyFont="1" applyBorder="1" applyAlignment="1">
      <alignment horizontal="center" vertical="center"/>
    </xf>
    <xf numFmtId="0" fontId="17" fillId="0" borderId="0" xfId="0" applyFont="1" applyBorder="1" applyAlignment="1">
      <alignment horizontal="center" vertical="center"/>
    </xf>
    <xf numFmtId="17" fontId="16" fillId="0" borderId="15" xfId="0" quotePrefix="1" applyNumberFormat="1" applyFont="1" applyBorder="1" applyAlignment="1">
      <alignment horizontal="center" vertical="center"/>
    </xf>
    <xf numFmtId="0" fontId="14" fillId="0" borderId="0" xfId="0" applyFont="1" applyAlignment="1">
      <alignment vertical="center"/>
    </xf>
    <xf numFmtId="0" fontId="0" fillId="0" borderId="10" xfId="0" applyBorder="1" applyAlignment="1">
      <alignment vertical="center"/>
    </xf>
    <xf numFmtId="0" fontId="25" fillId="0" borderId="19" xfId="0" applyFont="1" applyBorder="1" applyAlignment="1">
      <alignment horizontal="center" vertical="center"/>
    </xf>
    <xf numFmtId="0" fontId="24" fillId="0" borderId="10" xfId="0" applyFont="1" applyBorder="1" applyAlignment="1">
      <alignment horizontal="right" vertical="center"/>
    </xf>
    <xf numFmtId="0" fontId="26" fillId="0" borderId="0" xfId="0" applyFont="1" applyAlignment="1">
      <alignment vertical="center"/>
    </xf>
    <xf numFmtId="0" fontId="30" fillId="0" borderId="10" xfId="0" applyFont="1" applyBorder="1" applyAlignment="1">
      <alignment vertical="center"/>
    </xf>
    <xf numFmtId="0" fontId="21" fillId="0" borderId="10" xfId="0" applyFont="1" applyBorder="1" applyAlignment="1">
      <alignment vertical="center"/>
    </xf>
    <xf numFmtId="0" fontId="30" fillId="0" borderId="0" xfId="0" applyFont="1" applyBorder="1" applyAlignment="1">
      <alignment vertical="center"/>
    </xf>
    <xf numFmtId="0" fontId="24" fillId="0" borderId="0" xfId="0" applyFont="1" applyBorder="1" applyAlignment="1">
      <alignment horizontal="right" vertical="center"/>
    </xf>
    <xf numFmtId="0" fontId="0" fillId="0" borderId="0" xfId="0"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4" xfId="0" applyFill="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2" fillId="0" borderId="15" xfId="0" applyFont="1" applyBorder="1" applyAlignment="1">
      <alignment vertical="center"/>
    </xf>
    <xf numFmtId="0" fontId="3" fillId="0" borderId="15" xfId="0" applyFont="1" applyBorder="1" applyAlignment="1">
      <alignment vertical="center"/>
    </xf>
    <xf numFmtId="0" fontId="3" fillId="0" borderId="0" xfId="0" applyFont="1" applyAlignment="1">
      <alignment vertical="center"/>
    </xf>
    <xf numFmtId="0" fontId="27" fillId="0" borderId="0" xfId="0" applyFont="1" applyAlignment="1">
      <alignment vertical="center"/>
    </xf>
    <xf numFmtId="16" fontId="33" fillId="0" borderId="23" xfId="0" quotePrefix="1" applyNumberFormat="1" applyFont="1" applyBorder="1" applyAlignment="1">
      <alignment horizontal="center" vertical="center"/>
    </xf>
    <xf numFmtId="0" fontId="33" fillId="0" borderId="14" xfId="0" quotePrefix="1" applyFont="1" applyBorder="1" applyAlignment="1">
      <alignment horizontal="center" vertical="center"/>
    </xf>
    <xf numFmtId="0" fontId="3" fillId="0" borderId="15" xfId="0" quotePrefix="1" applyFont="1" applyBorder="1" applyAlignment="1">
      <alignment horizontal="center" vertical="center"/>
    </xf>
    <xf numFmtId="0" fontId="77" fillId="0" borderId="19" xfId="0" applyFont="1" applyBorder="1" applyAlignment="1">
      <alignment vertical="center"/>
    </xf>
    <xf numFmtId="0" fontId="3" fillId="0" borderId="22" xfId="0" applyFont="1" applyBorder="1" applyAlignment="1">
      <alignment horizontal="center" vertical="center"/>
    </xf>
    <xf numFmtId="0" fontId="3" fillId="0" borderId="1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22" xfId="0" applyFont="1" applyBorder="1" applyAlignment="1" applyProtection="1">
      <alignment horizontal="center" vertical="center"/>
      <protection locked="0"/>
    </xf>
    <xf numFmtId="0" fontId="33" fillId="0" borderId="0" xfId="0" applyFont="1" applyBorder="1" applyAlignment="1">
      <alignment horizontal="left" vertical="center"/>
    </xf>
    <xf numFmtId="0" fontId="24" fillId="0" borderId="10" xfId="0" applyFont="1" applyBorder="1" applyAlignment="1">
      <alignment vertical="center"/>
    </xf>
    <xf numFmtId="0" fontId="0" fillId="0" borderId="0" xfId="0" quotePrefix="1" applyAlignment="1">
      <alignment vertical="center"/>
    </xf>
    <xf numFmtId="0" fontId="62" fillId="0" borderId="10" xfId="0" applyFont="1" applyBorder="1" applyAlignment="1">
      <alignment vertical="center"/>
    </xf>
    <xf numFmtId="0" fontId="14" fillId="0" borderId="0" xfId="0" applyFont="1" applyAlignment="1" applyProtection="1">
      <alignment vertical="center"/>
      <protection locked="0"/>
    </xf>
    <xf numFmtId="0" fontId="14" fillId="0" borderId="14" xfId="0" applyFont="1" applyBorder="1" applyAlignment="1">
      <alignment vertical="center"/>
    </xf>
    <xf numFmtId="0" fontId="0" fillId="0" borderId="18" xfId="0" applyBorder="1" applyAlignment="1">
      <alignment vertical="center"/>
    </xf>
    <xf numFmtId="2" fontId="3" fillId="0" borderId="15" xfId="0" applyNumberFormat="1" applyFont="1" applyBorder="1" applyAlignment="1">
      <alignment horizontal="center" vertical="center"/>
    </xf>
    <xf numFmtId="2" fontId="3" fillId="0" borderId="22" xfId="0" applyNumberFormat="1" applyFont="1" applyBorder="1" applyAlignment="1">
      <alignment horizontal="center" vertical="center"/>
    </xf>
    <xf numFmtId="0" fontId="33" fillId="0" borderId="24" xfId="0" applyFont="1" applyBorder="1" applyAlignment="1">
      <alignment vertical="center"/>
    </xf>
    <xf numFmtId="0" fontId="45" fillId="0" borderId="21" xfId="0" applyFont="1" applyBorder="1" applyAlignment="1">
      <alignment vertical="center"/>
    </xf>
    <xf numFmtId="0" fontId="45" fillId="0" borderId="0" xfId="0" applyFont="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45" fillId="0" borderId="17" xfId="0" applyFont="1" applyBorder="1" applyAlignment="1">
      <alignment vertical="center"/>
    </xf>
    <xf numFmtId="0" fontId="45" fillId="0" borderId="10" xfId="0" applyFont="1" applyBorder="1" applyAlignment="1" applyProtection="1">
      <alignment horizontal="center" vertical="center"/>
      <protection locked="0"/>
    </xf>
    <xf numFmtId="0" fontId="45" fillId="0" borderId="16" xfId="0" applyFont="1" applyBorder="1" applyAlignment="1" applyProtection="1">
      <alignment horizontal="center" vertical="center"/>
      <protection locked="0"/>
    </xf>
    <xf numFmtId="0" fontId="25" fillId="0" borderId="19" xfId="0" applyFont="1" applyBorder="1" applyAlignment="1">
      <alignment horizontal="center" vertical="center" wrapText="1"/>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3" fillId="0" borderId="14" xfId="0" applyFont="1" applyBorder="1" applyAlignment="1" applyProtection="1">
      <alignment horizontal="center" vertical="center"/>
      <protection locked="0"/>
    </xf>
    <xf numFmtId="0" fontId="26" fillId="0" borderId="0" xfId="0" applyFont="1" applyAlignment="1" applyProtection="1">
      <alignment horizontal="right" vertical="center"/>
      <protection locked="0"/>
    </xf>
    <xf numFmtId="0" fontId="26" fillId="0" borderId="0" xfId="0" applyFont="1" applyAlignment="1" applyProtection="1">
      <alignment vertical="center"/>
      <protection locked="0"/>
    </xf>
    <xf numFmtId="0" fontId="33" fillId="0" borderId="15"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3" fillId="0" borderId="16"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16" fillId="0" borderId="19" xfId="0" quotePrefix="1" applyFont="1" applyBorder="1" applyAlignment="1" applyProtection="1">
      <alignment horizontal="center" vertical="center"/>
      <protection locked="0"/>
    </xf>
    <xf numFmtId="0" fontId="0" fillId="0" borderId="14" xfId="0" applyBorder="1" applyAlignment="1" applyProtection="1">
      <alignment horizontal="center" vertical="center"/>
    </xf>
    <xf numFmtId="0" fontId="34" fillId="0" borderId="17" xfId="0" applyFont="1" applyBorder="1" applyAlignment="1">
      <alignment horizontal="center" vertical="center" wrapText="1"/>
    </xf>
    <xf numFmtId="0" fontId="26" fillId="0" borderId="12" xfId="0" applyFont="1" applyBorder="1" applyAlignment="1">
      <alignment horizontal="left" vertical="center"/>
    </xf>
    <xf numFmtId="0" fontId="69" fillId="0" borderId="19" xfId="0" quotePrefix="1" applyFont="1" applyBorder="1" applyAlignment="1">
      <alignment horizontal="center" vertical="center" wrapText="1"/>
    </xf>
    <xf numFmtId="0" fontId="69" fillId="0" borderId="11" xfId="0" quotePrefix="1" applyFont="1" applyBorder="1" applyAlignment="1">
      <alignment horizontal="center" vertical="center" wrapText="1"/>
    </xf>
    <xf numFmtId="0" fontId="22" fillId="0" borderId="19" xfId="0" quotePrefix="1" applyFont="1" applyBorder="1" applyAlignment="1">
      <alignment horizontal="center"/>
    </xf>
    <xf numFmtId="0" fontId="3" fillId="0" borderId="15" xfId="0" applyFont="1" applyBorder="1" applyAlignment="1" applyProtection="1">
      <alignment horizontal="center"/>
      <protection locked="0"/>
    </xf>
    <xf numFmtId="0" fontId="14" fillId="0" borderId="15" xfId="0" applyFont="1" applyBorder="1" applyAlignment="1" applyProtection="1">
      <alignment horizontal="center"/>
      <protection locked="0"/>
    </xf>
    <xf numFmtId="0" fontId="45" fillId="0" borderId="22" xfId="0" applyFont="1" applyBorder="1" applyAlignment="1" applyProtection="1">
      <alignment horizontal="center"/>
      <protection locked="0"/>
    </xf>
    <xf numFmtId="0" fontId="16" fillId="0" borderId="22" xfId="0" quotePrefix="1" applyFont="1" applyBorder="1" applyAlignment="1" applyProtection="1">
      <alignment horizontal="center" vertical="center"/>
      <protection locked="0"/>
    </xf>
    <xf numFmtId="0" fontId="0" fillId="0" borderId="20" xfId="0" quotePrefix="1" applyFill="1" applyBorder="1" applyAlignment="1">
      <alignment horizontal="center"/>
    </xf>
    <xf numFmtId="0" fontId="2" fillId="0" borderId="15" xfId="0" applyFont="1" applyBorder="1" applyAlignment="1" applyProtection="1">
      <alignment horizontal="center" vertical="center"/>
      <protection locked="0"/>
    </xf>
    <xf numFmtId="0" fontId="26" fillId="0" borderId="0" xfId="0" applyFont="1" applyBorder="1" applyAlignment="1" applyProtection="1">
      <alignment horizontal="right" vertical="center"/>
      <protection locked="0"/>
    </xf>
    <xf numFmtId="0" fontId="16" fillId="0" borderId="17" xfId="0" quotePrefix="1" applyFont="1" applyBorder="1" applyAlignment="1">
      <alignment horizontal="center" vertical="center" wrapText="1"/>
    </xf>
    <xf numFmtId="0" fontId="16" fillId="0" borderId="16" xfId="0" quotePrefix="1" applyFont="1" applyBorder="1" applyAlignment="1">
      <alignment horizontal="center" vertical="center" wrapText="1"/>
    </xf>
    <xf numFmtId="0" fontId="16" fillId="0" borderId="22" xfId="0" quotePrefix="1" applyFont="1" applyBorder="1" applyAlignment="1">
      <alignment horizontal="center" vertical="center" wrapText="1"/>
    </xf>
    <xf numFmtId="0" fontId="0" fillId="0" borderId="0" xfId="0" applyBorder="1" applyAlignment="1" applyProtection="1">
      <alignment horizontal="left" vertical="center"/>
      <protection locked="0"/>
    </xf>
    <xf numFmtId="0" fontId="24" fillId="0" borderId="0" xfId="0" applyFont="1" applyAlignment="1">
      <alignment vertical="center"/>
    </xf>
    <xf numFmtId="0" fontId="0" fillId="0" borderId="14" xfId="0" applyBorder="1" applyAlignment="1">
      <alignment vertical="center"/>
    </xf>
    <xf numFmtId="0" fontId="29" fillId="0" borderId="21" xfId="0" quotePrefix="1" applyFont="1" applyBorder="1" applyAlignment="1">
      <alignment horizontal="center" vertical="center"/>
    </xf>
    <xf numFmtId="164" fontId="0" fillId="0" borderId="14" xfId="0" applyNumberFormat="1" applyBorder="1" applyAlignment="1" applyProtection="1">
      <alignment horizontal="center" vertical="center"/>
      <protection locked="0"/>
    </xf>
    <xf numFmtId="0" fontId="29" fillId="0" borderId="21" xfId="0" applyFont="1" applyBorder="1" applyAlignment="1">
      <alignment vertical="center"/>
    </xf>
    <xf numFmtId="0" fontId="0" fillId="0" borderId="21" xfId="0" quotePrefix="1" applyBorder="1" applyAlignment="1">
      <alignment horizontal="center" vertical="center"/>
    </xf>
    <xf numFmtId="0" fontId="29" fillId="0" borderId="21" xfId="0" quotePrefix="1" applyFont="1" applyBorder="1" applyAlignment="1">
      <alignment vertical="center"/>
    </xf>
    <xf numFmtId="0" fontId="29" fillId="0" borderId="17" xfId="0" applyFont="1" applyBorder="1" applyAlignment="1">
      <alignment vertical="center"/>
    </xf>
    <xf numFmtId="0" fontId="21" fillId="0" borderId="14" xfId="0" applyFont="1" applyBorder="1" applyAlignment="1">
      <alignment vertical="center"/>
    </xf>
    <xf numFmtId="2" fontId="33" fillId="0" borderId="13" xfId="0" applyNumberFormat="1" applyFont="1" applyBorder="1" applyAlignment="1" applyProtection="1">
      <alignment horizontal="center" vertical="center"/>
    </xf>
    <xf numFmtId="0" fontId="33" fillId="0" borderId="13" xfId="0" applyFont="1" applyBorder="1" applyAlignment="1">
      <alignment vertical="center"/>
    </xf>
    <xf numFmtId="0" fontId="21" fillId="0" borderId="23" xfId="0" applyFont="1" applyBorder="1" applyAlignment="1">
      <alignment vertical="center"/>
    </xf>
    <xf numFmtId="0" fontId="0" fillId="0" borderId="15" xfId="0" applyBorder="1" applyAlignment="1" applyProtection="1">
      <alignment vertical="center"/>
      <protection locked="0"/>
    </xf>
    <xf numFmtId="2" fontId="0" fillId="0" borderId="15" xfId="0" applyNumberFormat="1" applyBorder="1" applyAlignment="1" applyProtection="1">
      <alignment horizontal="center" vertical="center"/>
      <protection locked="0"/>
    </xf>
    <xf numFmtId="0" fontId="24" fillId="0" borderId="21" xfId="0" quotePrefix="1" applyFont="1" applyBorder="1" applyAlignment="1">
      <alignment horizontal="center" vertical="center"/>
    </xf>
    <xf numFmtId="0" fontId="24" fillId="0" borderId="21" xfId="0" applyFont="1" applyBorder="1" applyAlignment="1">
      <alignment horizontal="center" vertical="center"/>
    </xf>
    <xf numFmtId="0" fontId="24" fillId="0" borderId="17" xfId="0" applyFont="1" applyBorder="1" applyAlignment="1">
      <alignment horizontal="center" vertical="center"/>
    </xf>
    <xf numFmtId="0" fontId="76" fillId="0" borderId="18" xfId="0" applyFont="1" applyBorder="1" applyAlignment="1">
      <alignment horizontal="left" vertical="center"/>
    </xf>
    <xf numFmtId="0" fontId="78" fillId="0" borderId="15" xfId="0" applyFont="1" applyBorder="1" applyAlignment="1">
      <alignment horizontal="left" vertical="center"/>
    </xf>
    <xf numFmtId="0" fontId="78" fillId="0" borderId="0" xfId="0" applyFont="1" applyBorder="1" applyAlignment="1">
      <alignment horizontal="left" vertical="center"/>
    </xf>
    <xf numFmtId="0" fontId="78" fillId="0" borderId="14" xfId="0" applyFont="1" applyBorder="1" applyAlignment="1">
      <alignment horizontal="left" vertical="center"/>
    </xf>
    <xf numFmtId="0" fontId="0" fillId="0" borderId="22" xfId="0" applyBorder="1" applyAlignment="1" applyProtection="1">
      <alignment horizontal="center" vertical="center"/>
      <protection locked="0"/>
    </xf>
    <xf numFmtId="0" fontId="26" fillId="0" borderId="0" xfId="0" applyFont="1" applyFill="1" applyBorder="1" applyAlignment="1">
      <alignment horizontal="right" vertical="center"/>
    </xf>
    <xf numFmtId="0" fontId="0" fillId="0" borderId="10" xfId="0" applyBorder="1" applyAlignment="1">
      <alignment horizontal="right" vertical="center"/>
    </xf>
    <xf numFmtId="0" fontId="28" fillId="0" borderId="0" xfId="0" applyFont="1" applyAlignment="1" applyProtection="1">
      <alignment vertical="center"/>
      <protection locked="0"/>
    </xf>
    <xf numFmtId="0" fontId="28" fillId="0" borderId="0" xfId="0" applyFont="1" applyAlignment="1">
      <alignment vertical="center"/>
    </xf>
    <xf numFmtId="0" fontId="26" fillId="0" borderId="0" xfId="0" applyFont="1" applyBorder="1" applyAlignment="1">
      <alignment horizontal="left" vertical="top"/>
    </xf>
    <xf numFmtId="0" fontId="0" fillId="0" borderId="0" xfId="0" applyAlignment="1">
      <alignment horizontal="right" vertical="center"/>
    </xf>
    <xf numFmtId="0" fontId="0" fillId="0" borderId="0" xfId="0" applyAlignment="1">
      <alignment horizontal="left" vertical="center"/>
    </xf>
    <xf numFmtId="0" fontId="33" fillId="0" borderId="0" xfId="0" applyFont="1" applyFill="1" applyBorder="1" applyAlignment="1" applyProtection="1">
      <alignment horizontal="center" vertical="center"/>
      <protection locked="0"/>
    </xf>
    <xf numFmtId="0" fontId="0" fillId="0" borderId="17" xfId="0" applyBorder="1" applyAlignment="1">
      <alignment vertical="center"/>
    </xf>
    <xf numFmtId="0" fontId="40" fillId="0" borderId="19" xfId="0" quotePrefix="1" applyFont="1" applyBorder="1" applyAlignment="1">
      <alignment horizontal="center" vertical="center" wrapText="1"/>
    </xf>
    <xf numFmtId="0" fontId="40" fillId="0" borderId="11" xfId="0" quotePrefix="1" applyFont="1" applyBorder="1" applyAlignment="1">
      <alignment horizontal="center" vertical="center" wrapText="1"/>
    </xf>
    <xf numFmtId="0" fontId="42" fillId="0" borderId="19" xfId="0" quotePrefix="1" applyFont="1" applyBorder="1" applyAlignment="1">
      <alignment horizontal="center" vertical="center" wrapText="1"/>
    </xf>
    <xf numFmtId="0" fontId="40" fillId="0" borderId="13" xfId="0" quotePrefix="1" applyFont="1" applyBorder="1" applyAlignment="1">
      <alignment horizontal="center" vertical="center" wrapText="1"/>
    </xf>
    <xf numFmtId="0" fontId="40" fillId="0" borderId="11" xfId="0" quotePrefix="1" applyFont="1" applyBorder="1" applyAlignment="1">
      <alignment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right" vertical="center"/>
    </xf>
    <xf numFmtId="0" fontId="26" fillId="0" borderId="14" xfId="0" applyFont="1" applyBorder="1" applyAlignment="1">
      <alignment horizontal="left" vertical="center"/>
    </xf>
    <xf numFmtId="0" fontId="26" fillId="0" borderId="0" xfId="0" applyFont="1" applyAlignment="1">
      <alignment horizontal="left" vertical="center"/>
    </xf>
    <xf numFmtId="0" fontId="0" fillId="0" borderId="0" xfId="0" applyBorder="1" applyAlignment="1">
      <alignment horizontal="left" vertical="center"/>
    </xf>
    <xf numFmtId="0" fontId="0" fillId="0" borderId="15" xfId="0" quotePrefix="1" applyBorder="1" applyAlignment="1">
      <alignment horizontal="center" vertical="center"/>
    </xf>
    <xf numFmtId="0" fontId="16" fillId="0" borderId="19" xfId="0" applyFont="1" applyBorder="1" applyAlignment="1">
      <alignment horizontal="center" vertical="center"/>
    </xf>
    <xf numFmtId="0" fontId="26" fillId="0" borderId="0" xfId="0" applyFont="1" applyBorder="1" applyAlignment="1">
      <alignment horizontal="left" vertical="center" wrapText="1"/>
    </xf>
    <xf numFmtId="0" fontId="24" fillId="0" borderId="0" xfId="0" applyFont="1" applyBorder="1" applyAlignment="1">
      <alignment vertical="center"/>
    </xf>
    <xf numFmtId="0" fontId="32" fillId="0" borderId="10" xfId="0" applyFont="1" applyBorder="1" applyAlignment="1">
      <alignment horizontal="center" vertical="center"/>
    </xf>
    <xf numFmtId="0" fontId="26" fillId="0" borderId="15" xfId="0" applyFont="1" applyBorder="1" applyAlignment="1">
      <alignment horizontal="center" vertical="center" wrapText="1"/>
    </xf>
    <xf numFmtId="0" fontId="26" fillId="0" borderId="22" xfId="0" applyFont="1" applyBorder="1" applyAlignment="1">
      <alignment horizontal="center" vertical="center" wrapText="1"/>
    </xf>
    <xf numFmtId="0" fontId="8" fillId="0" borderId="0" xfId="0" applyFont="1" applyBorder="1" applyAlignment="1">
      <alignment vertical="center"/>
    </xf>
    <xf numFmtId="0" fontId="0" fillId="0" borderId="0" xfId="0" applyFill="1" applyBorder="1" applyAlignment="1">
      <alignment vertical="center"/>
    </xf>
    <xf numFmtId="0" fontId="3" fillId="0" borderId="10" xfId="0" applyFont="1" applyBorder="1" applyAlignment="1">
      <alignment vertical="center"/>
    </xf>
    <xf numFmtId="0" fontId="26" fillId="0" borderId="0" xfId="0" quotePrefix="1" applyFont="1" applyAlignment="1">
      <alignment vertical="center"/>
    </xf>
    <xf numFmtId="0" fontId="22" fillId="0" borderId="15" xfId="0" applyFont="1" applyBorder="1" applyAlignment="1">
      <alignment horizontal="center" vertical="center" wrapText="1"/>
    </xf>
    <xf numFmtId="0" fontId="3" fillId="0" borderId="18" xfId="0" applyFont="1" applyBorder="1" applyAlignment="1">
      <alignment horizontal="center" vertical="center"/>
    </xf>
    <xf numFmtId="1" fontId="16" fillId="0" borderId="19" xfId="0" quotePrefix="1" applyNumberFormat="1" applyFont="1" applyBorder="1" applyAlignment="1">
      <alignment horizontal="center" vertical="center"/>
    </xf>
    <xf numFmtId="0" fontId="21" fillId="0" borderId="0" xfId="0" applyFont="1" applyBorder="1" applyAlignment="1">
      <alignment horizontal="left" vertical="center"/>
    </xf>
    <xf numFmtId="0" fontId="26" fillId="0" borderId="12" xfId="0" applyFont="1" applyBorder="1" applyAlignment="1" applyProtection="1">
      <alignment vertical="top"/>
      <protection locked="0"/>
    </xf>
    <xf numFmtId="0" fontId="81" fillId="0" borderId="19" xfId="0" applyFont="1" applyBorder="1" applyAlignment="1">
      <alignment horizontal="center" vertical="center"/>
    </xf>
    <xf numFmtId="0" fontId="21" fillId="0" borderId="14" xfId="0" applyFont="1" applyBorder="1" applyAlignment="1">
      <alignment horizontal="left" vertical="center"/>
    </xf>
    <xf numFmtId="0" fontId="0" fillId="0" borderId="14" xfId="0" applyFill="1" applyBorder="1" applyAlignment="1" applyProtection="1">
      <alignment horizontal="center" vertical="center"/>
      <protection locked="0"/>
    </xf>
    <xf numFmtId="0" fontId="32" fillId="0" borderId="19" xfId="0" applyFont="1" applyBorder="1" applyAlignment="1">
      <alignment horizontal="center" vertical="center" wrapText="1"/>
    </xf>
    <xf numFmtId="0" fontId="65" fillId="0" borderId="19" xfId="0" applyFont="1" applyBorder="1" applyAlignment="1">
      <alignment horizontal="center" vertical="center" wrapText="1"/>
    </xf>
    <xf numFmtId="164" fontId="0" fillId="0" borderId="15" xfId="0" applyNumberFormat="1" applyBorder="1" applyAlignment="1" applyProtection="1">
      <alignment horizontal="center" vertical="center"/>
      <protection locked="0"/>
    </xf>
    <xf numFmtId="164" fontId="0" fillId="0" borderId="15" xfId="0" applyNumberFormat="1" applyBorder="1" applyAlignment="1">
      <alignment horizontal="center" vertical="center"/>
    </xf>
    <xf numFmtId="164" fontId="33" fillId="0" borderId="15" xfId="0" applyNumberFormat="1" applyFont="1" applyBorder="1" applyAlignment="1">
      <alignment horizontal="center" vertical="center"/>
    </xf>
    <xf numFmtId="0" fontId="2" fillId="0" borderId="14" xfId="0" applyFont="1" applyBorder="1" applyAlignment="1">
      <alignment vertical="center"/>
    </xf>
    <xf numFmtId="0" fontId="33" fillId="0" borderId="14" xfId="0" applyFont="1" applyBorder="1" applyAlignment="1">
      <alignment vertical="center"/>
    </xf>
    <xf numFmtId="0" fontId="29" fillId="0" borderId="14" xfId="0" applyFont="1" applyBorder="1" applyAlignment="1">
      <alignment vertical="center"/>
    </xf>
    <xf numFmtId="0" fontId="51" fillId="0" borderId="16" xfId="0" applyFont="1" applyBorder="1" applyAlignment="1">
      <alignment horizontal="left" vertical="center" wrapText="1"/>
    </xf>
    <xf numFmtId="0" fontId="32" fillId="0" borderId="19" xfId="0" applyFont="1" applyBorder="1" applyAlignment="1">
      <alignment horizontal="center" vertical="center"/>
    </xf>
    <xf numFmtId="164" fontId="33" fillId="0" borderId="14" xfId="0" applyNumberFormat="1" applyFont="1" applyBorder="1" applyAlignment="1">
      <alignment horizontal="center" vertical="center"/>
    </xf>
    <xf numFmtId="0" fontId="21" fillId="0" borderId="15" xfId="0" applyFont="1" applyBorder="1" applyAlignment="1">
      <alignment horizontal="left" vertical="center"/>
    </xf>
    <xf numFmtId="0" fontId="0" fillId="0" borderId="15" xfId="0" applyFill="1" applyBorder="1" applyAlignment="1" applyProtection="1">
      <alignment horizontal="center" vertical="center"/>
      <protection locked="0"/>
    </xf>
    <xf numFmtId="0" fontId="17" fillId="0" borderId="15" xfId="0" applyFont="1" applyBorder="1" applyAlignment="1">
      <alignment horizontal="center"/>
    </xf>
    <xf numFmtId="0" fontId="17" fillId="0" borderId="22" xfId="0" applyFont="1" applyBorder="1" applyAlignment="1">
      <alignment horizontal="center"/>
    </xf>
    <xf numFmtId="0" fontId="17" fillId="0" borderId="15" xfId="0" quotePrefix="1" applyFont="1" applyBorder="1" applyAlignment="1">
      <alignment horizontal="center"/>
    </xf>
    <xf numFmtId="0" fontId="3" fillId="0" borderId="0" xfId="0" applyFont="1" applyBorder="1" applyAlignment="1" applyProtection="1">
      <alignment horizontal="center" vertical="center"/>
    </xf>
    <xf numFmtId="0" fontId="26" fillId="0" borderId="15" xfId="0" applyFont="1" applyBorder="1" applyAlignment="1" applyProtection="1">
      <alignment horizontal="center" vertical="center"/>
      <protection locked="0"/>
    </xf>
    <xf numFmtId="0" fontId="3" fillId="0" borderId="15" xfId="0" applyFont="1" applyFill="1" applyBorder="1" applyAlignment="1">
      <alignment horizontal="center" vertical="center"/>
    </xf>
    <xf numFmtId="0" fontId="0" fillId="0" borderId="21" xfId="0" applyFill="1" applyBorder="1" applyAlignment="1" applyProtection="1">
      <alignment horizontal="center" vertical="center"/>
      <protection locked="0"/>
    </xf>
    <xf numFmtId="0" fontId="70" fillId="0" borderId="22" xfId="0" applyFont="1" applyBorder="1" applyAlignment="1">
      <alignment horizontal="center" vertical="top" wrapText="1"/>
    </xf>
    <xf numFmtId="2" fontId="3" fillId="0" borderId="10" xfId="0" applyNumberFormat="1" applyFont="1" applyBorder="1" applyAlignment="1">
      <alignment horizontal="center" vertical="center"/>
    </xf>
    <xf numFmtId="0" fontId="16" fillId="0" borderId="0" xfId="0" applyFont="1" applyAlignment="1" applyProtection="1">
      <alignment vertical="center"/>
      <protection locked="0"/>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164" fontId="3" fillId="0" borderId="22" xfId="0" applyNumberFormat="1" applyFont="1" applyBorder="1" applyAlignment="1">
      <alignment horizontal="center" vertical="center"/>
    </xf>
    <xf numFmtId="0" fontId="3" fillId="0" borderId="15" xfId="0" applyFont="1" applyFill="1" applyBorder="1" applyAlignment="1" applyProtection="1">
      <alignment horizontal="center" vertical="center"/>
      <protection locked="0"/>
    </xf>
    <xf numFmtId="0" fontId="33" fillId="0" borderId="23" xfId="0" applyFont="1" applyBorder="1" applyAlignment="1">
      <alignment horizontal="center" vertical="center"/>
    </xf>
    <xf numFmtId="0" fontId="82" fillId="24" borderId="0" xfId="0" applyFont="1" applyFill="1" applyBorder="1" applyAlignment="1" applyProtection="1">
      <alignment horizontal="center" vertical="center"/>
      <protection locked="0"/>
    </xf>
    <xf numFmtId="0" fontId="27" fillId="24" borderId="0" xfId="0" applyFont="1" applyFill="1" applyAlignment="1">
      <alignment horizontal="right"/>
    </xf>
    <xf numFmtId="0" fontId="14" fillId="0" borderId="21" xfId="0" applyFont="1" applyBorder="1" applyAlignment="1" applyProtection="1">
      <alignment horizontal="center" vertical="center"/>
      <protection locked="0"/>
    </xf>
    <xf numFmtId="0" fontId="25" fillId="0" borderId="20" xfId="0" applyFont="1" applyBorder="1" applyAlignment="1" applyProtection="1">
      <alignment horizontal="center" vertical="center" wrapText="1"/>
      <protection locked="0"/>
    </xf>
    <xf numFmtId="0" fontId="14" fillId="0" borderId="17" xfId="0" applyFont="1" applyBorder="1" applyAlignment="1">
      <alignment vertical="center"/>
    </xf>
    <xf numFmtId="0" fontId="3" fillId="0" borderId="0" xfId="0" applyFont="1" applyProtection="1">
      <protection locked="0"/>
    </xf>
    <xf numFmtId="0" fontId="3" fillId="0" borderId="20" xfId="0" quotePrefix="1" applyFont="1" applyBorder="1" applyAlignment="1" applyProtection="1">
      <alignment horizontal="center" vertical="center"/>
      <protection locked="0"/>
    </xf>
    <xf numFmtId="0" fontId="3" fillId="0" borderId="11" xfId="0" quotePrefix="1" applyFont="1" applyBorder="1" applyAlignment="1" applyProtection="1">
      <alignment horizontal="center" vertical="center"/>
      <protection locked="0"/>
    </xf>
    <xf numFmtId="0" fontId="3" fillId="0" borderId="19" xfId="0" quotePrefix="1" applyFont="1" applyBorder="1" applyAlignment="1" applyProtection="1">
      <alignment horizontal="center" vertical="center"/>
      <protection locked="0"/>
    </xf>
    <xf numFmtId="0" fontId="3" fillId="0" borderId="15" xfId="0" applyFont="1" applyBorder="1" applyAlignment="1" applyProtection="1">
      <alignment horizontal="center" vertical="center"/>
    </xf>
    <xf numFmtId="0" fontId="3" fillId="0" borderId="11" xfId="0" quotePrefix="1" applyFont="1" applyBorder="1" applyAlignment="1" applyProtection="1">
      <alignment horizontal="center" vertical="center" wrapText="1"/>
      <protection locked="0"/>
    </xf>
    <xf numFmtId="0" fontId="14" fillId="0" borderId="21" xfId="0" applyFont="1" applyBorder="1" applyAlignment="1" applyProtection="1">
      <alignment horizontal="center"/>
      <protection locked="0"/>
    </xf>
    <xf numFmtId="0" fontId="0" fillId="0" borderId="0" xfId="0" applyBorder="1" applyProtection="1">
      <protection locked="0"/>
    </xf>
    <xf numFmtId="0" fontId="14" fillId="0" borderId="0" xfId="0" applyFont="1" applyBorder="1" applyAlignment="1" applyProtection="1">
      <alignment vertical="center"/>
      <protection locked="0"/>
    </xf>
    <xf numFmtId="0" fontId="33" fillId="0" borderId="18" xfId="0" applyFont="1" applyBorder="1" applyAlignment="1">
      <alignment horizontal="center" vertical="center"/>
    </xf>
    <xf numFmtId="0" fontId="3" fillId="0" borderId="22" xfId="0" applyFont="1" applyBorder="1" applyAlignment="1" applyProtection="1">
      <alignment horizontal="center" vertical="center"/>
    </xf>
    <xf numFmtId="0" fontId="14" fillId="0" borderId="18" xfId="0" applyFont="1" applyBorder="1" applyAlignment="1">
      <alignment horizontal="center" vertical="center"/>
    </xf>
    <xf numFmtId="1" fontId="0" fillId="0" borderId="15" xfId="0" applyNumberFormat="1" applyBorder="1" applyAlignment="1">
      <alignment horizontal="center" vertical="center"/>
    </xf>
    <xf numFmtId="1" fontId="0" fillId="0" borderId="22" xfId="0" applyNumberFormat="1" applyBorder="1" applyAlignment="1">
      <alignment horizontal="center" vertical="center"/>
    </xf>
    <xf numFmtId="0" fontId="0" fillId="0" borderId="22" xfId="0" applyBorder="1" applyAlignment="1" applyProtection="1">
      <alignment horizontal="center"/>
      <protection locked="0"/>
    </xf>
    <xf numFmtId="2" fontId="3" fillId="0" borderId="0" xfId="0" applyNumberFormat="1" applyFont="1" applyBorder="1" applyAlignment="1">
      <alignment horizontal="center" vertical="center"/>
    </xf>
    <xf numFmtId="0" fontId="3" fillId="0" borderId="17" xfId="0" applyFont="1" applyFill="1" applyBorder="1" applyAlignment="1">
      <alignment horizontal="center" vertical="center"/>
    </xf>
    <xf numFmtId="0" fontId="3" fillId="0" borderId="0" xfId="0" quotePrefix="1" applyFont="1" applyBorder="1" applyAlignment="1">
      <alignment horizontal="center" vertical="center"/>
    </xf>
    <xf numFmtId="0" fontId="3" fillId="0" borderId="22" xfId="0" quotePrefix="1" applyFont="1" applyBorder="1" applyAlignment="1">
      <alignment horizontal="center" vertical="center"/>
    </xf>
    <xf numFmtId="0" fontId="50" fillId="0" borderId="21" xfId="0" quotePrefix="1" applyFont="1" applyBorder="1" applyAlignment="1">
      <alignment horizontal="center" vertical="center"/>
    </xf>
    <xf numFmtId="0" fontId="33" fillId="24" borderId="10" xfId="0" applyFont="1" applyFill="1" applyBorder="1" applyAlignment="1">
      <alignment horizontal="center" vertical="center"/>
    </xf>
    <xf numFmtId="164" fontId="33" fillId="0" borderId="22" xfId="0" applyNumberFormat="1" applyFont="1" applyBorder="1" applyAlignment="1">
      <alignment horizontal="center" vertical="center"/>
    </xf>
    <xf numFmtId="1" fontId="33" fillId="0" borderId="24" xfId="0" applyNumberFormat="1" applyFont="1" applyBorder="1" applyAlignment="1">
      <alignment horizontal="center" vertical="center"/>
    </xf>
    <xf numFmtId="2" fontId="50" fillId="0" borderId="0" xfId="0" applyNumberFormat="1" applyFont="1" applyBorder="1" applyAlignment="1" applyProtection="1">
      <alignment horizontal="center" vertical="center"/>
      <protection locked="0"/>
    </xf>
    <xf numFmtId="2" fontId="3" fillId="0" borderId="0" xfId="0" applyNumberFormat="1" applyFont="1" applyBorder="1" applyAlignment="1" applyProtection="1">
      <alignment horizontal="center" vertical="center"/>
      <protection locked="0"/>
    </xf>
    <xf numFmtId="0" fontId="50" fillId="0" borderId="0" xfId="0" applyFont="1" applyBorder="1" applyAlignment="1">
      <alignment horizontal="center" vertical="center"/>
    </xf>
    <xf numFmtId="0" fontId="62" fillId="0" borderId="0" xfId="0" applyFont="1" applyBorder="1" applyAlignment="1" applyProtection="1">
      <alignment horizontal="right" vertical="center"/>
      <protection locked="0"/>
    </xf>
    <xf numFmtId="0" fontId="84" fillId="0" borderId="0" xfId="0" applyFont="1" applyBorder="1" applyAlignment="1">
      <alignment horizontal="center" wrapText="1"/>
    </xf>
    <xf numFmtId="0" fontId="84" fillId="0" borderId="0" xfId="0" applyFont="1" applyBorder="1" applyAlignment="1">
      <alignment horizontal="center"/>
    </xf>
    <xf numFmtId="0" fontId="83" fillId="0" borderId="20" xfId="0" applyFont="1" applyFill="1" applyBorder="1" applyAlignment="1">
      <alignment horizontal="center" vertical="center"/>
    </xf>
    <xf numFmtId="0" fontId="34" fillId="0" borderId="0" xfId="0" applyFont="1" applyBorder="1" applyAlignment="1">
      <alignment horizontal="right"/>
    </xf>
    <xf numFmtId="0" fontId="30" fillId="0" borderId="0" xfId="0" applyFont="1"/>
    <xf numFmtId="0" fontId="15" fillId="0" borderId="0" xfId="0" applyFont="1" applyBorder="1" applyAlignment="1">
      <alignment horizontal="center" vertical="center"/>
    </xf>
    <xf numFmtId="0" fontId="50" fillId="0" borderId="0" xfId="0" quotePrefix="1" applyFont="1" applyBorder="1" applyAlignment="1">
      <alignment horizontal="center" vertical="center"/>
    </xf>
    <xf numFmtId="0" fontId="16" fillId="0" borderId="0" xfId="0" applyFont="1" applyAlignment="1">
      <alignment horizontal="center" vertical="center" wrapText="1"/>
    </xf>
    <xf numFmtId="0" fontId="33" fillId="0" borderId="21" xfId="0" applyFont="1" applyBorder="1" applyAlignment="1">
      <alignment vertical="center" shrinkToFit="1"/>
    </xf>
    <xf numFmtId="0" fontId="33" fillId="0" borderId="24" xfId="0" applyFont="1" applyBorder="1" applyAlignment="1">
      <alignment vertical="center" shrinkToFit="1"/>
    </xf>
    <xf numFmtId="0" fontId="0" fillId="0" borderId="15" xfId="0" applyBorder="1" applyAlignment="1" applyProtection="1">
      <alignment horizontal="center" vertical="top"/>
      <protection locked="0"/>
    </xf>
    <xf numFmtId="0" fontId="0" fillId="0" borderId="15" xfId="0" applyBorder="1" applyAlignment="1">
      <alignment horizontal="center" vertical="top"/>
    </xf>
    <xf numFmtId="0" fontId="62" fillId="0" borderId="15" xfId="0" applyFont="1" applyBorder="1" applyAlignment="1">
      <alignment horizontal="center" vertical="top"/>
    </xf>
    <xf numFmtId="0" fontId="33" fillId="0" borderId="16" xfId="0" applyFont="1" applyBorder="1" applyAlignment="1">
      <alignment vertical="center"/>
    </xf>
    <xf numFmtId="0" fontId="0" fillId="0" borderId="15" xfId="0" applyBorder="1" applyAlignment="1" applyProtection="1">
      <alignment horizontal="center" vertical="center"/>
    </xf>
    <xf numFmtId="0" fontId="33" fillId="0" borderId="15" xfId="0" quotePrefix="1" applyFont="1" applyBorder="1" applyAlignment="1">
      <alignment horizontal="center" vertical="center"/>
    </xf>
    <xf numFmtId="0" fontId="16" fillId="0" borderId="22" xfId="0" applyFont="1" applyBorder="1" applyAlignment="1">
      <alignment vertical="center"/>
    </xf>
    <xf numFmtId="0" fontId="3" fillId="0" borderId="21" xfId="0" applyFont="1" applyFill="1" applyBorder="1" applyAlignment="1">
      <alignment horizontal="center" vertical="center"/>
    </xf>
    <xf numFmtId="0" fontId="33" fillId="0" borderId="12" xfId="0" applyFont="1" applyBorder="1" applyAlignment="1">
      <alignment horizontal="center" vertical="center"/>
    </xf>
    <xf numFmtId="0" fontId="33" fillId="0" borderId="21" xfId="0" applyFont="1" applyBorder="1" applyAlignment="1">
      <alignment horizontal="center" vertical="center" shrinkToFit="1"/>
    </xf>
    <xf numFmtId="0" fontId="26" fillId="0" borderId="21" xfId="0" applyFont="1" applyBorder="1" applyAlignment="1">
      <alignment horizontal="center" vertical="center" shrinkToFit="1"/>
    </xf>
    <xf numFmtId="0" fontId="14" fillId="0" borderId="21" xfId="0" applyFont="1" applyBorder="1" applyAlignment="1">
      <alignment horizontal="center" vertical="center" shrinkToFit="1"/>
    </xf>
    <xf numFmtId="0" fontId="26" fillId="0" borderId="22" xfId="0" applyFont="1" applyBorder="1" applyAlignment="1">
      <alignment horizontal="center" vertical="center" shrinkToFit="1"/>
    </xf>
    <xf numFmtId="0" fontId="15" fillId="0" borderId="0" xfId="0" applyFont="1" applyBorder="1" applyAlignment="1">
      <alignment horizontal="center"/>
    </xf>
    <xf numFmtId="0" fontId="83" fillId="0" borderId="20" xfId="0" applyFont="1" applyBorder="1" applyAlignment="1">
      <alignment horizontal="center" vertical="center"/>
    </xf>
    <xf numFmtId="0" fontId="83" fillId="0" borderId="11" xfId="0" applyFont="1" applyBorder="1" applyAlignment="1">
      <alignment horizontal="center" vertical="center"/>
    </xf>
    <xf numFmtId="0" fontId="83" fillId="0" borderId="13" xfId="0" applyFont="1" applyBorder="1" applyAlignment="1">
      <alignment horizontal="center" vertical="center"/>
    </xf>
    <xf numFmtId="0" fontId="14" fillId="0" borderId="0" xfId="0" applyFont="1" applyAlignment="1">
      <alignment horizontal="right" vertical="center"/>
    </xf>
    <xf numFmtId="0" fontId="62" fillId="0" borderId="0" xfId="0" applyFont="1" applyAlignment="1">
      <alignment vertical="center"/>
    </xf>
    <xf numFmtId="0" fontId="30" fillId="0" borderId="0" xfId="0" applyFont="1" applyFill="1" applyBorder="1" applyAlignment="1">
      <alignment horizontal="left" vertical="center"/>
    </xf>
    <xf numFmtId="0" fontId="30" fillId="0" borderId="0" xfId="0" applyFont="1" applyAlignment="1">
      <alignment horizontal="left"/>
    </xf>
    <xf numFmtId="0" fontId="25" fillId="0" borderId="10"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25" fillId="0" borderId="18" xfId="0" applyFont="1" applyFill="1" applyBorder="1" applyAlignment="1">
      <alignment horizontal="center" vertical="center"/>
    </xf>
    <xf numFmtId="0" fontId="25" fillId="0" borderId="24" xfId="0" applyFont="1" applyBorder="1" applyAlignment="1">
      <alignment horizontal="center" vertical="center"/>
    </xf>
    <xf numFmtId="0" fontId="25" fillId="0" borderId="12" xfId="0" applyFont="1" applyBorder="1" applyAlignment="1">
      <alignment horizontal="center"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25" fillId="0" borderId="23"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22" xfId="0" applyFont="1" applyBorder="1" applyAlignment="1">
      <alignment horizontal="center" vertical="center"/>
    </xf>
    <xf numFmtId="0" fontId="25" fillId="0" borderId="24" xfId="0" applyFont="1" applyBorder="1" applyAlignment="1">
      <alignment horizontal="center" vertical="center" wrapText="1"/>
    </xf>
    <xf numFmtId="0" fontId="16" fillId="0" borderId="20" xfId="0" quotePrefix="1"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165" fontId="3" fillId="0" borderId="15" xfId="0" applyNumberFormat="1" applyFont="1" applyBorder="1" applyAlignment="1">
      <alignment horizontal="center" vertical="center"/>
    </xf>
    <xf numFmtId="0" fontId="25" fillId="0" borderId="24"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65" fillId="0" borderId="23" xfId="0" applyFont="1" applyBorder="1" applyAlignment="1" applyProtection="1">
      <alignment horizontal="center" vertical="top" wrapText="1"/>
      <protection locked="0"/>
    </xf>
    <xf numFmtId="0" fontId="25" fillId="0" borderId="19" xfId="0" applyFont="1" applyBorder="1" applyAlignment="1" applyProtection="1">
      <alignment horizontal="center" vertical="center" wrapText="1"/>
      <protection locked="0"/>
    </xf>
    <xf numFmtId="0" fontId="25" fillId="0" borderId="0" xfId="0" applyFont="1" applyAlignment="1" applyProtection="1">
      <alignment horizontal="center" vertical="center"/>
      <protection locked="0"/>
    </xf>
    <xf numFmtId="0" fontId="25" fillId="0" borderId="14" xfId="0" applyFont="1" applyBorder="1" applyAlignment="1">
      <alignment horizontal="center"/>
    </xf>
    <xf numFmtId="0" fontId="25" fillId="0" borderId="19" xfId="0" applyFont="1" applyBorder="1" applyAlignment="1">
      <alignment horizontal="center" vertical="top" wrapText="1"/>
    </xf>
    <xf numFmtId="0" fontId="25" fillId="0" borderId="11" xfId="0" applyFont="1" applyBorder="1" applyAlignment="1">
      <alignment horizontal="center" vertical="center" wrapText="1"/>
    </xf>
    <xf numFmtId="0" fontId="25" fillId="0" borderId="19"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0" xfId="0" applyFont="1" applyFill="1" applyBorder="1" applyAlignment="1">
      <alignment horizontal="center" vertical="center"/>
    </xf>
    <xf numFmtId="0" fontId="75" fillId="0" borderId="0" xfId="0" applyFont="1" applyBorder="1" applyAlignment="1">
      <alignment horizontal="center" vertical="center"/>
    </xf>
    <xf numFmtId="0" fontId="26" fillId="0" borderId="22" xfId="0" applyFont="1" applyFill="1" applyBorder="1" applyAlignment="1">
      <alignment horizontal="center" vertical="center"/>
    </xf>
    <xf numFmtId="0" fontId="80" fillId="0" borderId="11" xfId="0" quotePrefix="1" applyFont="1" applyBorder="1" applyAlignment="1">
      <alignment horizontal="center" vertical="center"/>
    </xf>
    <xf numFmtId="0" fontId="80" fillId="0" borderId="13" xfId="0" quotePrefix="1" applyFont="1" applyBorder="1" applyAlignment="1">
      <alignment horizontal="center" vertical="center"/>
    </xf>
    <xf numFmtId="0" fontId="68" fillId="0" borderId="10" xfId="0" applyFont="1" applyBorder="1" applyAlignment="1">
      <alignment horizontal="right" vertical="center"/>
    </xf>
    <xf numFmtId="0" fontId="80" fillId="0" borderId="19" xfId="0" quotePrefix="1" applyFont="1" applyBorder="1" applyAlignment="1">
      <alignment horizontal="center" vertical="center"/>
    </xf>
    <xf numFmtId="0" fontId="80" fillId="0" borderId="19" xfId="0" quotePrefix="1" applyFont="1" applyFill="1" applyBorder="1" applyAlignment="1">
      <alignment horizontal="center" vertical="center"/>
    </xf>
    <xf numFmtId="0" fontId="26" fillId="0" borderId="15" xfId="0" applyFont="1" applyFill="1" applyBorder="1" applyAlignment="1">
      <alignment horizontal="center" vertical="center"/>
    </xf>
    <xf numFmtId="0" fontId="36" fillId="0" borderId="18" xfId="0" applyFont="1" applyBorder="1" applyAlignment="1">
      <alignment horizontal="center" vertical="center"/>
    </xf>
    <xf numFmtId="0" fontId="38" fillId="0" borderId="21" xfId="0" applyFont="1" applyBorder="1" applyAlignment="1">
      <alignment horizontal="center" vertical="top" wrapText="1"/>
    </xf>
    <xf numFmtId="0" fontId="38" fillId="0" borderId="0" xfId="0" applyFont="1" applyBorder="1" applyAlignment="1">
      <alignment horizontal="center" vertical="top" wrapText="1"/>
    </xf>
    <xf numFmtId="0" fontId="25" fillId="0" borderId="18"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38" fillId="0" borderId="18" xfId="0" applyFont="1" applyBorder="1" applyAlignment="1">
      <alignment horizontal="center" vertical="center" wrapText="1"/>
    </xf>
    <xf numFmtId="0" fontId="38" fillId="0" borderId="10" xfId="0" applyFont="1" applyBorder="1" applyAlignment="1">
      <alignment horizontal="center" vertical="center"/>
    </xf>
    <xf numFmtId="0" fontId="38" fillId="0" borderId="17" xfId="0" applyFont="1" applyBorder="1" applyAlignment="1">
      <alignment horizontal="center" vertical="center"/>
    </xf>
    <xf numFmtId="0" fontId="25" fillId="0" borderId="0" xfId="0" applyFont="1" applyBorder="1" applyAlignment="1">
      <alignment horizontal="center"/>
    </xf>
    <xf numFmtId="0" fontId="25" fillId="0" borderId="21" xfId="0" applyFont="1" applyBorder="1" applyAlignment="1">
      <alignment horizontal="center"/>
    </xf>
    <xf numFmtId="0" fontId="80" fillId="0" borderId="12" xfId="0" applyFont="1" applyBorder="1" applyAlignment="1" applyProtection="1">
      <alignment vertical="top"/>
      <protection locked="0"/>
    </xf>
    <xf numFmtId="2" fontId="0" fillId="0" borderId="22" xfId="0" applyNumberFormat="1" applyBorder="1" applyAlignment="1">
      <alignment horizontal="center" vertical="center"/>
    </xf>
    <xf numFmtId="1" fontId="3" fillId="0" borderId="17" xfId="0" applyNumberFormat="1" applyFont="1" applyBorder="1" applyAlignment="1">
      <alignment horizontal="center" vertical="center"/>
    </xf>
    <xf numFmtId="0" fontId="26" fillId="0" borderId="17" xfId="0" applyFont="1" applyFill="1" applyBorder="1" applyAlignment="1">
      <alignment horizontal="center" vertical="center"/>
    </xf>
    <xf numFmtId="0" fontId="34" fillId="0" borderId="15" xfId="0" applyFont="1" applyBorder="1" applyAlignment="1">
      <alignment horizontal="center" vertical="center"/>
    </xf>
    <xf numFmtId="0" fontId="34" fillId="0" borderId="22" xfId="0" applyFont="1" applyBorder="1" applyAlignment="1">
      <alignment horizontal="center" vertical="center"/>
    </xf>
    <xf numFmtId="0" fontId="17" fillId="0" borderId="15" xfId="170" applyFont="1" applyBorder="1" applyAlignment="1" applyProtection="1">
      <alignment horizontal="center" vertical="center"/>
    </xf>
    <xf numFmtId="0" fontId="0" fillId="0" borderId="12" xfId="0" applyBorder="1" applyAlignment="1" applyProtection="1">
      <alignment horizontal="center" vertical="center"/>
      <protection locked="0"/>
    </xf>
    <xf numFmtId="0" fontId="15" fillId="0" borderId="10" xfId="0" applyFont="1" applyBorder="1" applyAlignment="1">
      <alignment horizontal="center" vertical="center"/>
    </xf>
    <xf numFmtId="2" fontId="2" fillId="0" borderId="14" xfId="0" applyNumberFormat="1" applyFont="1" applyFill="1" applyBorder="1" applyAlignment="1">
      <alignment horizontal="center" vertical="center"/>
    </xf>
    <xf numFmtId="2" fontId="3" fillId="0" borderId="15" xfId="0" applyNumberFormat="1" applyFont="1" applyBorder="1" applyAlignment="1" applyProtection="1">
      <alignment horizontal="center" vertical="center"/>
      <protection locked="0"/>
    </xf>
    <xf numFmtId="2" fontId="3" fillId="0" borderId="22" xfId="0" applyNumberFormat="1" applyFont="1" applyBorder="1" applyAlignment="1" applyProtection="1">
      <alignment horizontal="center" vertical="center"/>
      <protection locked="0"/>
    </xf>
    <xf numFmtId="0" fontId="68" fillId="0" borderId="0" xfId="0" applyFont="1" applyBorder="1" applyAlignment="1">
      <alignment horizontal="right" vertical="center"/>
    </xf>
    <xf numFmtId="2" fontId="2" fillId="0" borderId="16" xfId="0" applyNumberFormat="1" applyFont="1" applyFill="1" applyBorder="1" applyAlignment="1">
      <alignment horizontal="center" vertical="center"/>
    </xf>
    <xf numFmtId="164" fontId="3" fillId="0" borderId="14" xfId="0" applyNumberFormat="1" applyFont="1" applyBorder="1" applyAlignment="1" applyProtection="1">
      <alignment horizontal="center" vertical="center"/>
      <protection locked="0"/>
    </xf>
    <xf numFmtId="0" fontId="48" fillId="0" borderId="0" xfId="0" applyFont="1" applyBorder="1" applyAlignment="1">
      <alignment horizontal="left" vertical="center"/>
    </xf>
    <xf numFmtId="0" fontId="33" fillId="0" borderId="15" xfId="0" applyFont="1" applyBorder="1" applyAlignment="1">
      <alignment vertical="center" wrapText="1"/>
    </xf>
    <xf numFmtId="0" fontId="76" fillId="0" borderId="14" xfId="0" applyFont="1" applyBorder="1" applyAlignment="1">
      <alignment horizontal="left" vertical="center"/>
    </xf>
    <xf numFmtId="0" fontId="33" fillId="0" borderId="18" xfId="0" applyFont="1" applyBorder="1" applyAlignment="1">
      <alignment horizontal="left" vertical="center"/>
    </xf>
    <xf numFmtId="0" fontId="21" fillId="0" borderId="20" xfId="0" applyFont="1" applyBorder="1" applyAlignment="1">
      <alignment vertical="center"/>
    </xf>
    <xf numFmtId="0" fontId="15" fillId="0" borderId="19" xfId="0" applyFont="1" applyBorder="1" applyAlignment="1">
      <alignment horizontal="center" vertical="center"/>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5" xfId="0" quotePrefix="1" applyFont="1" applyBorder="1" applyAlignment="1">
      <alignment horizontal="center" vertical="center"/>
    </xf>
    <xf numFmtId="0" fontId="44" fillId="0" borderId="22" xfId="0" applyFont="1" applyBorder="1" applyAlignment="1">
      <alignment horizontal="center" vertical="center"/>
    </xf>
    <xf numFmtId="0" fontId="44" fillId="0" borderId="18" xfId="0" applyFont="1" applyBorder="1" applyAlignment="1">
      <alignment horizontal="center" vertical="center"/>
    </xf>
    <xf numFmtId="0" fontId="85" fillId="0" borderId="0" xfId="0" applyFont="1"/>
    <xf numFmtId="0" fontId="17" fillId="0" borderId="0" xfId="0" applyFont="1"/>
    <xf numFmtId="0" fontId="30" fillId="0" borderId="19" xfId="0" quotePrefix="1" applyFont="1" applyBorder="1" applyAlignment="1">
      <alignment horizontal="center" vertical="center"/>
    </xf>
    <xf numFmtId="0" fontId="30" fillId="0" borderId="11" xfId="0" quotePrefix="1" applyFont="1" applyBorder="1" applyAlignment="1">
      <alignment horizontal="center" vertical="center"/>
    </xf>
    <xf numFmtId="0" fontId="30" fillId="0" borderId="13" xfId="0" quotePrefix="1" applyFont="1" applyBorder="1" applyAlignment="1">
      <alignment horizontal="center" vertical="center"/>
    </xf>
    <xf numFmtId="0" fontId="30" fillId="0" borderId="20" xfId="0" quotePrefix="1" applyFont="1" applyBorder="1" applyAlignment="1">
      <alignment horizontal="center" vertical="center"/>
    </xf>
    <xf numFmtId="0" fontId="30" fillId="0" borderId="11" xfId="0" quotePrefix="1" applyFont="1" applyFill="1" applyBorder="1" applyAlignment="1">
      <alignment horizontal="center" vertical="center"/>
    </xf>
    <xf numFmtId="0" fontId="30" fillId="0" borderId="13" xfId="0" quotePrefix="1" applyFont="1" applyFill="1" applyBorder="1" applyAlignment="1">
      <alignment horizontal="center" vertical="center"/>
    </xf>
    <xf numFmtId="0" fontId="62" fillId="0" borderId="0" xfId="0" applyFont="1"/>
    <xf numFmtId="0" fontId="62" fillId="0" borderId="0" xfId="0" applyFont="1" applyAlignment="1">
      <alignment horizontal="right"/>
    </xf>
    <xf numFmtId="0" fontId="17" fillId="0" borderId="0" xfId="0" applyFont="1" applyAlignment="1">
      <alignment horizontal="right"/>
    </xf>
    <xf numFmtId="0" fontId="26" fillId="0" borderId="17"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2" fillId="0" borderId="15" xfId="0" applyFont="1" applyBorder="1" applyAlignment="1">
      <alignment horizontal="center" vertical="top" wrapText="1"/>
    </xf>
    <xf numFmtId="0" fontId="71" fillId="0" borderId="0" xfId="0" applyFont="1" applyAlignment="1">
      <alignment horizontal="center" vertical="center"/>
    </xf>
    <xf numFmtId="0" fontId="34"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2" fontId="0" fillId="0" borderId="18" xfId="0" applyNumberFormat="1" applyBorder="1" applyAlignment="1">
      <alignment horizontal="center" vertical="center"/>
    </xf>
    <xf numFmtId="0" fontId="16" fillId="0" borderId="0" xfId="0" quotePrefix="1" applyFont="1" applyBorder="1" applyAlignment="1">
      <alignment horizontal="center" vertical="center"/>
    </xf>
    <xf numFmtId="0" fontId="0" fillId="0" borderId="0" xfId="0" applyBorder="1" applyAlignment="1"/>
    <xf numFmtId="164" fontId="3" fillId="0" borderId="15" xfId="0" applyNumberFormat="1" applyFont="1" applyBorder="1" applyAlignment="1">
      <alignment horizontal="center" vertical="center"/>
    </xf>
    <xf numFmtId="1" fontId="6" fillId="0" borderId="0" xfId="0" applyNumberFormat="1" applyFont="1"/>
    <xf numFmtId="0" fontId="26" fillId="0" borderId="21" xfId="0" applyFont="1" applyFill="1" applyBorder="1" applyAlignment="1">
      <alignment horizontal="center" vertical="center"/>
    </xf>
    <xf numFmtId="2" fontId="2" fillId="0" borderId="15" xfId="0" applyNumberFormat="1" applyFont="1" applyBorder="1" applyAlignment="1">
      <alignment horizontal="center" vertical="center"/>
    </xf>
    <xf numFmtId="2" fontId="3" fillId="0" borderId="10" xfId="0" applyNumberFormat="1" applyFont="1" applyBorder="1" applyAlignment="1" applyProtection="1">
      <alignment horizontal="center" vertical="center"/>
      <protection locked="0"/>
    </xf>
    <xf numFmtId="0" fontId="3" fillId="0" borderId="21" xfId="0" quotePrefix="1" applyFont="1" applyBorder="1" applyAlignment="1">
      <alignment horizontal="center" vertical="center"/>
    </xf>
    <xf numFmtId="0" fontId="30" fillId="0" borderId="22" xfId="0" applyFont="1" applyBorder="1" applyAlignment="1" applyProtection="1">
      <alignment horizontal="center" vertical="center" wrapText="1"/>
      <protection locked="0"/>
    </xf>
    <xf numFmtId="0" fontId="40" fillId="0" borderId="12" xfId="0" quotePrefix="1" applyFont="1" applyBorder="1" applyAlignment="1">
      <alignment horizontal="center" vertical="center"/>
    </xf>
    <xf numFmtId="0" fontId="40" fillId="0" borderId="24" xfId="0" quotePrefix="1" applyFont="1" applyBorder="1" applyAlignment="1">
      <alignment horizontal="center" vertical="center"/>
    </xf>
    <xf numFmtId="0" fontId="40" fillId="0" borderId="23" xfId="0" quotePrefix="1" applyFont="1" applyBorder="1" applyAlignment="1">
      <alignment horizontal="center" vertical="center"/>
    </xf>
    <xf numFmtId="0" fontId="17" fillId="0" borderId="20" xfId="0" applyFont="1" applyBorder="1" applyAlignment="1">
      <alignment horizontal="center" vertical="center"/>
    </xf>
    <xf numFmtId="0" fontId="0" fillId="0" borderId="22" xfId="0" applyBorder="1" applyAlignment="1" applyProtection="1">
      <alignment horizontal="center" vertical="center"/>
    </xf>
    <xf numFmtId="0" fontId="25" fillId="0" borderId="15" xfId="0" quotePrefix="1" applyFont="1" applyBorder="1" applyAlignment="1">
      <alignment horizontal="center" vertical="center"/>
    </xf>
    <xf numFmtId="0" fontId="0" fillId="0" borderId="24" xfId="0" applyBorder="1" applyAlignment="1">
      <alignment horizontal="center" vertical="center"/>
    </xf>
    <xf numFmtId="0" fontId="45" fillId="0" borderId="21" xfId="0" applyFont="1" applyBorder="1" applyAlignment="1" applyProtection="1">
      <alignment horizontal="center" vertical="center"/>
      <protection locked="0"/>
    </xf>
    <xf numFmtId="0" fontId="45" fillId="0" borderId="17" xfId="0" applyFont="1" applyBorder="1" applyAlignment="1" applyProtection="1">
      <alignment horizontal="center" vertical="center"/>
      <protection locked="0"/>
    </xf>
    <xf numFmtId="0" fontId="30" fillId="0" borderId="19" xfId="0" applyFont="1" applyBorder="1" applyAlignment="1">
      <alignment horizontal="center" vertical="center"/>
    </xf>
    <xf numFmtId="0" fontId="30" fillId="0" borderId="12" xfId="0" applyFont="1" applyBorder="1" applyAlignment="1">
      <alignment horizontal="center" vertical="center"/>
    </xf>
    <xf numFmtId="0" fontId="30" fillId="0" borderId="18" xfId="0" applyFont="1" applyBorder="1" applyAlignment="1">
      <alignment horizontal="center" vertical="center"/>
    </xf>
    <xf numFmtId="0" fontId="30" fillId="0" borderId="23"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4" xfId="0" applyFont="1" applyBorder="1" applyAlignment="1">
      <alignment horizontal="center" vertical="center"/>
    </xf>
    <xf numFmtId="0" fontId="30" fillId="0" borderId="12" xfId="0" applyFont="1" applyBorder="1" applyAlignment="1">
      <alignment horizontal="center" vertical="center" wrapText="1"/>
    </xf>
    <xf numFmtId="0" fontId="3" fillId="0" borderId="21" xfId="0" applyFont="1" applyBorder="1" applyAlignment="1">
      <alignment vertical="center"/>
    </xf>
    <xf numFmtId="2" fontId="3" fillId="0" borderId="18" xfId="0" applyNumberFormat="1" applyFont="1" applyBorder="1" applyAlignment="1">
      <alignment horizontal="center" vertical="center"/>
    </xf>
    <xf numFmtId="165" fontId="3" fillId="0" borderId="22" xfId="0" applyNumberFormat="1" applyFont="1" applyBorder="1" applyAlignment="1">
      <alignment horizontal="center" vertical="center"/>
    </xf>
    <xf numFmtId="0" fontId="16" fillId="0" borderId="23" xfId="0" quotePrefix="1" applyFont="1" applyFill="1" applyBorder="1" applyAlignment="1">
      <alignment horizontal="center" vertical="center"/>
    </xf>
    <xf numFmtId="0" fontId="3" fillId="0" borderId="24" xfId="0" applyFont="1" applyBorder="1" applyAlignment="1">
      <alignment horizontal="center" vertical="center"/>
    </xf>
    <xf numFmtId="0" fontId="28" fillId="0" borderId="0" xfId="0" applyFont="1" applyBorder="1" applyAlignment="1">
      <alignment vertical="center"/>
    </xf>
    <xf numFmtId="0" fontId="2" fillId="0" borderId="15" xfId="0" applyFont="1" applyFill="1" applyBorder="1" applyAlignment="1" applyProtection="1">
      <alignment horizontal="center" vertical="center"/>
      <protection locked="0"/>
    </xf>
    <xf numFmtId="0" fontId="62" fillId="0" borderId="19"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14" xfId="0" applyFont="1" applyFill="1" applyBorder="1" applyAlignment="1">
      <alignment horizontal="center" vertical="center"/>
    </xf>
    <xf numFmtId="0" fontId="42" fillId="0" borderId="14" xfId="0" applyFont="1" applyBorder="1" applyAlignment="1">
      <alignment vertical="center"/>
    </xf>
    <xf numFmtId="0" fontId="28" fillId="0" borderId="0" xfId="0" applyFont="1" applyBorder="1" applyAlignment="1">
      <alignment horizontal="center" vertical="center"/>
    </xf>
    <xf numFmtId="0" fontId="0" fillId="0" borderId="0" xfId="0" applyAlignment="1">
      <alignment vertical="top" wrapText="1"/>
    </xf>
    <xf numFmtId="0" fontId="34" fillId="0" borderId="11" xfId="0" applyFont="1" applyBorder="1" applyAlignment="1">
      <alignment horizontal="center" vertical="center"/>
    </xf>
    <xf numFmtId="0" fontId="0" fillId="0" borderId="15" xfId="0" applyBorder="1"/>
    <xf numFmtId="0" fontId="2" fillId="0" borderId="15" xfId="0" applyFont="1" applyBorder="1" applyAlignment="1">
      <alignment horizontal="center" vertical="top"/>
    </xf>
    <xf numFmtId="0" fontId="2" fillId="0" borderId="22" xfId="0" applyFont="1" applyBorder="1" applyAlignment="1">
      <alignment horizontal="center"/>
    </xf>
    <xf numFmtId="0" fontId="2" fillId="0" borderId="18" xfId="0" applyFont="1" applyBorder="1" applyAlignment="1">
      <alignment horizontal="left"/>
    </xf>
    <xf numFmtId="0" fontId="2" fillId="0" borderId="15" xfId="0" applyFont="1" applyBorder="1" applyAlignment="1">
      <alignment horizontal="left"/>
    </xf>
    <xf numFmtId="0" fontId="2" fillId="0" borderId="22" xfId="0" applyFont="1" applyBorder="1" applyAlignment="1">
      <alignment horizontal="left"/>
    </xf>
    <xf numFmtId="0" fontId="2" fillId="0" borderId="15" xfId="0" applyFont="1" applyBorder="1" applyAlignment="1">
      <alignment horizontal="left" vertical="top"/>
    </xf>
    <xf numFmtId="0" fontId="26" fillId="0" borderId="10" xfId="0" applyFont="1" applyBorder="1" applyAlignment="1">
      <alignment vertical="center"/>
    </xf>
    <xf numFmtId="0" fontId="26" fillId="0" borderId="19" xfId="0" applyFont="1" applyBorder="1" applyAlignment="1">
      <alignment horizontal="center" vertical="center" wrapText="1"/>
    </xf>
    <xf numFmtId="0" fontId="15" fillId="0" borderId="0" xfId="0" applyFont="1" applyBorder="1" applyAlignment="1"/>
    <xf numFmtId="0" fontId="26" fillId="0" borderId="10" xfId="0" applyFont="1" applyBorder="1" applyAlignment="1">
      <alignment horizontal="left" vertical="center"/>
    </xf>
    <xf numFmtId="0" fontId="26" fillId="0" borderId="12" xfId="0" applyFont="1" applyBorder="1" applyAlignment="1" applyProtection="1">
      <alignment vertical="center"/>
      <protection locked="0"/>
    </xf>
    <xf numFmtId="0" fontId="71" fillId="0" borderId="0" xfId="0" applyFont="1" applyBorder="1" applyAlignment="1" applyProtection="1">
      <alignment horizontal="center" wrapText="1"/>
      <protection locked="0"/>
    </xf>
    <xf numFmtId="0" fontId="3" fillId="0" borderId="0" xfId="0" applyFont="1" applyBorder="1" applyAlignment="1">
      <alignment vertical="center"/>
    </xf>
    <xf numFmtId="0" fontId="26" fillId="0" borderId="21" xfId="0" applyFont="1" applyBorder="1" applyAlignment="1">
      <alignment horizontal="center" vertical="center" wrapText="1"/>
    </xf>
    <xf numFmtId="0" fontId="26" fillId="0" borderId="17" xfId="0" applyFont="1" applyBorder="1" applyAlignment="1">
      <alignment horizontal="center" vertical="center" wrapText="1"/>
    </xf>
    <xf numFmtId="0" fontId="14" fillId="0" borderId="15" xfId="0" applyFont="1" applyBorder="1" applyAlignment="1" applyProtection="1">
      <alignment horizontal="left" vertical="center"/>
      <protection locked="0"/>
    </xf>
    <xf numFmtId="0" fontId="14" fillId="0" borderId="21" xfId="0" applyFont="1" applyBorder="1" applyAlignment="1">
      <alignment horizontal="left" vertical="center"/>
    </xf>
    <xf numFmtId="0" fontId="25" fillId="0" borderId="19" xfId="0" applyFont="1" applyBorder="1" applyAlignment="1" applyProtection="1">
      <alignment horizontal="center" vertical="center"/>
      <protection locked="0"/>
    </xf>
    <xf numFmtId="0" fontId="25" fillId="0" borderId="11" xfId="0" applyFont="1" applyBorder="1" applyAlignment="1" applyProtection="1">
      <alignment horizontal="center" vertical="center" wrapText="1"/>
      <protection locked="0"/>
    </xf>
    <xf numFmtId="0" fontId="65" fillId="0" borderId="19" xfId="0" applyFont="1" applyBorder="1" applyAlignment="1" applyProtection="1">
      <alignment horizontal="center" vertical="center" wrapText="1"/>
      <protection locked="0"/>
    </xf>
    <xf numFmtId="0" fontId="2" fillId="0" borderId="18" xfId="0" applyFont="1" applyBorder="1" applyAlignment="1">
      <alignment horizontal="left" vertical="center"/>
    </xf>
    <xf numFmtId="0" fontId="45" fillId="0" borderId="15"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26" fillId="0" borderId="14" xfId="0" applyFont="1" applyBorder="1" applyAlignment="1">
      <alignment horizontal="left" vertical="center" wrapText="1"/>
    </xf>
    <xf numFmtId="0" fontId="45" fillId="0" borderId="15" xfId="0" applyFont="1" applyBorder="1" applyAlignment="1" applyProtection="1">
      <alignment horizontal="center" vertical="center"/>
      <protection locked="0"/>
    </xf>
    <xf numFmtId="0" fontId="2" fillId="0" borderId="15" xfId="0" applyFont="1" applyBorder="1" applyAlignment="1">
      <alignment horizontal="left" vertical="center"/>
    </xf>
    <xf numFmtId="0" fontId="26" fillId="0" borderId="14" xfId="0" applyFont="1" applyBorder="1" applyAlignment="1">
      <alignment vertical="center" wrapText="1"/>
    </xf>
    <xf numFmtId="0" fontId="2" fillId="0" borderId="22" xfId="0" applyFont="1" applyBorder="1" applyAlignment="1">
      <alignment horizontal="left" vertical="center"/>
    </xf>
    <xf numFmtId="0" fontId="0" fillId="0" borderId="20" xfId="0" applyBorder="1" applyAlignment="1">
      <alignment vertical="center"/>
    </xf>
    <xf numFmtId="0" fontId="45" fillId="0" borderId="21" xfId="0" applyFont="1" applyBorder="1" applyAlignment="1">
      <alignment horizontal="center" vertical="center"/>
    </xf>
    <xf numFmtId="0" fontId="2" fillId="0" borderId="21" xfId="0" applyFont="1" applyBorder="1" applyAlignment="1" applyProtection="1">
      <alignment horizontal="center" vertical="center"/>
      <protection locked="0"/>
    </xf>
    <xf numFmtId="0" fontId="22" fillId="0" borderId="14" xfId="0" applyFont="1" applyBorder="1" applyAlignment="1">
      <alignment vertical="center"/>
    </xf>
    <xf numFmtId="0" fontId="14" fillId="0" borderId="14" xfId="0" applyFont="1" applyBorder="1" applyAlignment="1">
      <alignment vertical="center" wrapText="1"/>
    </xf>
    <xf numFmtId="0" fontId="45" fillId="0" borderId="0" xfId="0" applyFont="1" applyBorder="1" applyAlignment="1">
      <alignment vertical="center"/>
    </xf>
    <xf numFmtId="0" fontId="17" fillId="0" borderId="0" xfId="0" applyFont="1" applyProtection="1">
      <protection locked="0"/>
    </xf>
    <xf numFmtId="0" fontId="17" fillId="0" borderId="0" xfId="0" applyFont="1" applyAlignment="1" applyProtection="1">
      <alignment horizontal="right"/>
      <protection locked="0"/>
    </xf>
    <xf numFmtId="0" fontId="90" fillId="0" borderId="19" xfId="0" applyFont="1" applyBorder="1" applyAlignment="1">
      <alignment horizontal="center" vertical="center"/>
    </xf>
    <xf numFmtId="0" fontId="90" fillId="0" borderId="11" xfId="0" applyFont="1" applyBorder="1" applyAlignment="1">
      <alignment horizontal="center" vertical="center" wrapText="1"/>
    </xf>
    <xf numFmtId="0" fontId="90" fillId="0" borderId="19" xfId="0" applyFont="1" applyBorder="1" applyAlignment="1">
      <alignment horizontal="center" vertical="center" wrapText="1"/>
    </xf>
    <xf numFmtId="0" fontId="90" fillId="0" borderId="18" xfId="0" applyFont="1" applyBorder="1" applyAlignment="1">
      <alignment horizontal="center" vertical="center" wrapText="1"/>
    </xf>
    <xf numFmtId="0" fontId="26" fillId="0" borderId="24" xfId="0" applyFont="1" applyBorder="1" applyAlignment="1">
      <alignment horizontal="center" vertical="center" wrapText="1"/>
    </xf>
    <xf numFmtId="0" fontId="0" fillId="0" borderId="15" xfId="0" applyBorder="1" applyAlignment="1" applyProtection="1">
      <alignment horizontal="center"/>
    </xf>
    <xf numFmtId="0" fontId="33" fillId="0" borderId="15" xfId="0" applyFont="1" applyBorder="1" applyAlignment="1" applyProtection="1">
      <alignment horizontal="center" vertical="center"/>
    </xf>
    <xf numFmtId="0" fontId="0" fillId="0" borderId="0" xfId="0" quotePrefix="1" applyBorder="1" applyAlignment="1" applyProtection="1">
      <alignment horizontal="center" vertical="center"/>
      <protection locked="0"/>
    </xf>
    <xf numFmtId="0" fontId="0" fillId="0" borderId="19" xfId="0" quotePrefix="1" applyBorder="1" applyAlignment="1">
      <alignment horizontal="center" vertical="center"/>
    </xf>
    <xf numFmtId="0" fontId="0" fillId="0" borderId="11" xfId="0" quotePrefix="1" applyBorder="1" applyAlignment="1">
      <alignment horizontal="center" vertical="center"/>
    </xf>
    <xf numFmtId="0" fontId="0" fillId="0" borderId="13" xfId="0" quotePrefix="1" applyBorder="1" applyAlignment="1">
      <alignment horizontal="center" vertical="center"/>
    </xf>
    <xf numFmtId="0" fontId="26" fillId="0" borderId="12" xfId="0" applyFont="1" applyBorder="1" applyAlignment="1">
      <alignment horizontal="center"/>
    </xf>
    <xf numFmtId="0" fontId="91" fillId="0" borderId="24" xfId="0" applyFont="1" applyBorder="1" applyAlignment="1">
      <alignment horizontal="center" vertical="center"/>
    </xf>
    <xf numFmtId="0" fontId="1" fillId="0" borderId="14" xfId="0" applyFont="1" applyBorder="1" applyAlignment="1">
      <alignment horizontal="center" vertical="center"/>
    </xf>
    <xf numFmtId="0" fontId="85" fillId="0" borderId="13" xfId="0" applyFont="1" applyBorder="1" applyAlignment="1">
      <alignment horizontal="center" vertical="center"/>
    </xf>
    <xf numFmtId="0" fontId="1" fillId="0" borderId="23" xfId="0" applyFont="1" applyBorder="1" applyAlignment="1">
      <alignment horizontal="center" vertical="center"/>
    </xf>
    <xf numFmtId="1" fontId="0" fillId="0" borderId="0" xfId="0" applyNumberFormat="1"/>
    <xf numFmtId="0" fontId="91" fillId="0" borderId="24" xfId="0" applyFont="1" applyBorder="1" applyAlignment="1">
      <alignment horizontal="center" vertical="center" wrapText="1"/>
    </xf>
    <xf numFmtId="0" fontId="0" fillId="0" borderId="16"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14" xfId="0" quotePrefix="1" applyBorder="1" applyAlignment="1">
      <alignment horizontal="center" vertical="center"/>
    </xf>
    <xf numFmtId="0" fontId="3" fillId="0" borderId="0" xfId="0" applyFont="1" applyFill="1" applyBorder="1" applyAlignment="1" applyProtection="1">
      <alignment horizontal="center"/>
      <protection locked="0"/>
    </xf>
    <xf numFmtId="0" fontId="14" fillId="0" borderId="0" xfId="0" applyFont="1" applyBorder="1" applyAlignment="1">
      <alignment horizontal="left" vertical="center"/>
    </xf>
    <xf numFmtId="0" fontId="25" fillId="0" borderId="12" xfId="0" applyFont="1" applyBorder="1" applyAlignment="1">
      <alignment horizontal="center" vertical="center" wrapText="1"/>
    </xf>
    <xf numFmtId="0" fontId="62" fillId="0" borderId="20" xfId="0" applyFont="1" applyBorder="1" applyAlignment="1">
      <alignment horizontal="center" vertical="center"/>
    </xf>
    <xf numFmtId="0" fontId="17" fillId="0" borderId="13" xfId="0" applyFont="1" applyBorder="1" applyAlignment="1">
      <alignment horizontal="center" vertical="center"/>
    </xf>
    <xf numFmtId="0" fontId="15" fillId="0" borderId="0" xfId="0" applyFont="1" applyBorder="1" applyAlignment="1">
      <alignment horizontal="center" vertical="top" wrapText="1"/>
    </xf>
    <xf numFmtId="0" fontId="17" fillId="0" borderId="19" xfId="0" applyFont="1" applyBorder="1" applyAlignment="1">
      <alignment horizontal="center" vertical="center"/>
    </xf>
    <xf numFmtId="0" fontId="62" fillId="0" borderId="18" xfId="0" quotePrefix="1" applyFont="1" applyBorder="1" applyAlignment="1">
      <alignment horizontal="center" vertical="center"/>
    </xf>
    <xf numFmtId="0" fontId="8" fillId="0" borderId="0" xfId="0" applyFont="1" applyAlignment="1">
      <alignment vertical="top"/>
    </xf>
    <xf numFmtId="0" fontId="69" fillId="0" borderId="0" xfId="0" applyFont="1"/>
    <xf numFmtId="0" fontId="89" fillId="0" borderId="0" xfId="0" applyFont="1" applyBorder="1" applyAlignment="1">
      <alignment horizontal="center" vertical="center" wrapText="1"/>
    </xf>
    <xf numFmtId="0" fontId="89" fillId="0" borderId="0" xfId="0" applyFont="1" applyBorder="1" applyAlignment="1">
      <alignment horizontal="center" vertical="top" wrapText="1"/>
    </xf>
    <xf numFmtId="0" fontId="89" fillId="0" borderId="0" xfId="0" applyFont="1" applyAlignment="1">
      <alignment horizontal="center" vertical="center"/>
    </xf>
    <xf numFmtId="0" fontId="62" fillId="0" borderId="0" xfId="0" applyFont="1" applyBorder="1" applyAlignment="1">
      <alignment horizontal="center" vertical="center"/>
    </xf>
    <xf numFmtId="0" fontId="62" fillId="0" borderId="0" xfId="0" applyFont="1" applyBorder="1"/>
    <xf numFmtId="0" fontId="30" fillId="0" borderId="0" xfId="0" quotePrefix="1" applyFont="1" applyBorder="1" applyAlignment="1">
      <alignment horizontal="center"/>
    </xf>
    <xf numFmtId="0" fontId="30" fillId="0" borderId="0" xfId="0" quotePrefix="1" applyFont="1" applyBorder="1"/>
    <xf numFmtId="0" fontId="32" fillId="0" borderId="18" xfId="0" quotePrefix="1" applyFont="1" applyBorder="1" applyAlignment="1">
      <alignment horizontal="center" vertical="top"/>
    </xf>
    <xf numFmtId="0" fontId="33" fillId="0" borderId="14" xfId="0" applyFont="1" applyBorder="1" applyAlignment="1">
      <alignment horizontal="left" vertical="top" wrapText="1"/>
    </xf>
    <xf numFmtId="0" fontId="0" fillId="0" borderId="24" xfId="0" applyBorder="1" applyAlignment="1">
      <alignment horizontal="center"/>
    </xf>
    <xf numFmtId="0" fontId="34" fillId="0" borderId="15" xfId="0" applyFont="1" applyBorder="1" applyAlignment="1">
      <alignment horizontal="center"/>
    </xf>
    <xf numFmtId="0" fontId="32" fillId="0" borderId="22" xfId="0" applyFont="1" applyBorder="1" applyAlignment="1">
      <alignment horizontal="center" vertical="top" wrapText="1"/>
    </xf>
    <xf numFmtId="0" fontId="95" fillId="0" borderId="0" xfId="0" applyFont="1" applyAlignment="1">
      <alignment horizontal="right"/>
    </xf>
    <xf numFmtId="0" fontId="64" fillId="0" borderId="0" xfId="0" applyFont="1" applyBorder="1" applyAlignment="1">
      <alignment horizontal="left"/>
    </xf>
    <xf numFmtId="0" fontId="8" fillId="0" borderId="0" xfId="0" applyFont="1" applyBorder="1"/>
    <xf numFmtId="0" fontId="96" fillId="0" borderId="0" xfId="0" applyFont="1" applyBorder="1" applyAlignment="1">
      <alignment horizontal="right"/>
    </xf>
    <xf numFmtId="0" fontId="96" fillId="0" borderId="0" xfId="0" applyFont="1" applyBorder="1"/>
    <xf numFmtId="0" fontId="97" fillId="0" borderId="0" xfId="0" applyFont="1" applyBorder="1"/>
    <xf numFmtId="0" fontId="8" fillId="0" borderId="0" xfId="0" applyFont="1" applyAlignment="1">
      <alignment horizontal="right"/>
    </xf>
    <xf numFmtId="0" fontId="92" fillId="0" borderId="0" xfId="0" applyFont="1" applyAlignment="1">
      <alignment horizontal="left" vertical="top"/>
    </xf>
    <xf numFmtId="0" fontId="96" fillId="0" borderId="0" xfId="0" applyFont="1"/>
    <xf numFmtId="0" fontId="96" fillId="0" borderId="0" xfId="0" applyFont="1" applyBorder="1" applyAlignment="1">
      <alignment vertical="top"/>
    </xf>
    <xf numFmtId="0" fontId="15" fillId="0" borderId="0" xfId="0" applyFont="1" applyAlignment="1">
      <alignment horizontal="center" vertical="center"/>
    </xf>
    <xf numFmtId="0" fontId="36" fillId="0" borderId="18" xfId="0" applyFont="1" applyBorder="1" applyAlignment="1">
      <alignment horizontal="center" vertical="center" wrapText="1"/>
    </xf>
    <xf numFmtId="0" fontId="68" fillId="0" borderId="10" xfId="0" applyFont="1" applyBorder="1" applyAlignment="1">
      <alignment horizontal="right" vertical="top"/>
    </xf>
    <xf numFmtId="0" fontId="28" fillId="0" borderId="0" xfId="0" applyFont="1" applyBorder="1" applyAlignment="1">
      <alignment horizontal="right" vertical="center"/>
    </xf>
    <xf numFmtId="0" fontId="16" fillId="0" borderId="15" xfId="0" applyFont="1" applyFill="1" applyBorder="1" applyAlignment="1">
      <alignment horizontal="center" vertical="center"/>
    </xf>
    <xf numFmtId="164" fontId="3" fillId="0" borderId="10" xfId="0" applyNumberFormat="1" applyFont="1" applyBorder="1" applyAlignment="1">
      <alignment horizontal="center" vertical="center"/>
    </xf>
    <xf numFmtId="0" fontId="28" fillId="0" borderId="12" xfId="0" applyFont="1" applyBorder="1" applyAlignment="1">
      <alignment horizontal="right" vertical="center"/>
    </xf>
    <xf numFmtId="0" fontId="3" fillId="0" borderId="0" xfId="0" applyFont="1" applyAlignment="1"/>
    <xf numFmtId="0" fontId="14" fillId="0" borderId="0" xfId="0" applyFont="1" applyAlignment="1"/>
    <xf numFmtId="0" fontId="24" fillId="0" borderId="18" xfId="0" applyFont="1" applyBorder="1" applyAlignment="1">
      <alignment horizontal="center" vertical="center"/>
    </xf>
    <xf numFmtId="0" fontId="91" fillId="0" borderId="0" xfId="0" applyFont="1" applyBorder="1" applyAlignment="1">
      <alignment horizontal="left" vertical="center"/>
    </xf>
    <xf numFmtId="0" fontId="91" fillId="0" borderId="0" xfId="0" applyFont="1" applyBorder="1" applyAlignment="1">
      <alignment vertical="center"/>
    </xf>
    <xf numFmtId="1" fontId="3" fillId="0" borderId="15" xfId="0" applyNumberFormat="1" applyFont="1" applyBorder="1" applyAlignment="1">
      <alignment horizontal="center" vertical="center"/>
    </xf>
    <xf numFmtId="1" fontId="3" fillId="0" borderId="22" xfId="0" applyNumberFormat="1" applyFont="1" applyBorder="1" applyAlignment="1">
      <alignment horizontal="center" vertical="center"/>
    </xf>
    <xf numFmtId="0" fontId="9" fillId="0" borderId="0" xfId="0" applyFont="1" applyAlignment="1">
      <alignment horizontal="right"/>
    </xf>
    <xf numFmtId="0" fontId="99" fillId="0" borderId="0" xfId="0" applyFont="1" applyBorder="1" applyAlignment="1"/>
    <xf numFmtId="0" fontId="9" fillId="0" borderId="0" xfId="0" applyFont="1"/>
    <xf numFmtId="0" fontId="99" fillId="0" borderId="0" xfId="0" applyFont="1" applyAlignment="1"/>
    <xf numFmtId="0" fontId="99" fillId="0" borderId="0" xfId="0" applyFont="1" applyBorder="1" applyAlignment="1">
      <alignment horizontal="left"/>
    </xf>
    <xf numFmtId="0" fontId="9" fillId="0" borderId="0" xfId="0" applyFont="1" applyAlignment="1"/>
    <xf numFmtId="0" fontId="28" fillId="0" borderId="0" xfId="0" applyFont="1" applyAlignment="1">
      <alignment horizontal="right"/>
    </xf>
    <xf numFmtId="0" fontId="28" fillId="0" borderId="0" xfId="0" applyFont="1" applyAlignment="1">
      <alignment horizontal="left"/>
    </xf>
    <xf numFmtId="0" fontId="8" fillId="0" borderId="0" xfId="0" applyFont="1"/>
    <xf numFmtId="0" fontId="28" fillId="0" borderId="0" xfId="0" applyFont="1"/>
    <xf numFmtId="0" fontId="36" fillId="0" borderId="12" xfId="0" applyFont="1" applyBorder="1" applyAlignment="1">
      <alignment horizontal="center" vertical="center" wrapText="1"/>
    </xf>
    <xf numFmtId="0" fontId="91" fillId="0" borderId="11" xfId="0" applyFont="1" applyBorder="1" applyAlignment="1">
      <alignment horizontal="center" vertical="center" wrapText="1"/>
    </xf>
    <xf numFmtId="0" fontId="91" fillId="0" borderId="19" xfId="0" applyFont="1" applyBorder="1" applyAlignment="1">
      <alignment horizontal="center" vertical="center" wrapText="1"/>
    </xf>
    <xf numFmtId="0" fontId="91" fillId="0" borderId="10" xfId="0" applyFont="1" applyBorder="1" applyAlignment="1">
      <alignment horizontal="center" vertical="center" wrapText="1"/>
    </xf>
    <xf numFmtId="0" fontId="91" fillId="0" borderId="0" xfId="0" applyFont="1" applyBorder="1" applyAlignment="1">
      <alignment horizontal="center" vertical="center" wrapText="1"/>
    </xf>
    <xf numFmtId="0" fontId="91" fillId="0" borderId="18" xfId="0" applyFont="1" applyBorder="1" applyAlignment="1">
      <alignment horizontal="center" vertical="center" wrapText="1"/>
    </xf>
    <xf numFmtId="0" fontId="91" fillId="0" borderId="23" xfId="0" applyFont="1" applyBorder="1" applyAlignment="1">
      <alignment horizontal="center" vertical="center" wrapText="1"/>
    </xf>
    <xf numFmtId="0" fontId="28" fillId="0" borderId="0" xfId="0" applyFont="1" applyAlignment="1">
      <alignment horizontal="right" vertical="center"/>
    </xf>
    <xf numFmtId="0" fontId="8" fillId="0" borderId="0" xfId="0" applyFont="1" applyAlignment="1">
      <alignment vertical="center"/>
    </xf>
    <xf numFmtId="0" fontId="28" fillId="0" borderId="0" xfId="0" applyFont="1" applyBorder="1" applyAlignment="1">
      <alignment horizontal="right"/>
    </xf>
    <xf numFmtId="0" fontId="44" fillId="0" borderId="0" xfId="0" applyFont="1" applyAlignment="1">
      <alignment horizontal="left"/>
    </xf>
    <xf numFmtId="0" fontId="96" fillId="0" borderId="0" xfId="0" applyFont="1" applyFill="1" applyBorder="1" applyAlignment="1">
      <alignment horizontal="center" vertical="center"/>
    </xf>
    <xf numFmtId="0" fontId="92" fillId="0" borderId="0" xfId="0" applyFont="1" applyBorder="1" applyAlignment="1">
      <alignment horizontal="right"/>
    </xf>
    <xf numFmtId="0" fontId="28" fillId="0" borderId="0" xfId="0" applyFont="1" applyBorder="1" applyAlignment="1" applyProtection="1">
      <alignment horizontal="right" vertical="center"/>
      <protection locked="0"/>
    </xf>
    <xf numFmtId="0" fontId="28" fillId="0" borderId="12" xfId="0" applyFont="1" applyBorder="1" applyAlignment="1" applyProtection="1">
      <alignment horizontal="left" vertical="center"/>
      <protection locked="0"/>
    </xf>
    <xf numFmtId="0" fontId="8" fillId="0" borderId="0" xfId="0" applyFont="1" applyProtection="1">
      <protection locked="0"/>
    </xf>
    <xf numFmtId="0" fontId="8" fillId="0" borderId="0" xfId="0" applyFont="1" applyBorder="1" applyProtection="1">
      <protection locked="0"/>
    </xf>
    <xf numFmtId="0" fontId="28" fillId="0" borderId="12" xfId="0" applyFont="1" applyBorder="1" applyAlignment="1" applyProtection="1">
      <alignment horizontal="center" vertical="center"/>
      <protection locked="0"/>
    </xf>
    <xf numFmtId="0" fontId="28" fillId="0" borderId="0" xfId="0" applyFont="1" applyBorder="1" applyAlignment="1" applyProtection="1">
      <alignment horizontal="left" vertical="center"/>
      <protection locked="0"/>
    </xf>
    <xf numFmtId="0" fontId="28" fillId="0" borderId="0" xfId="0" applyFont="1" applyBorder="1" applyAlignment="1" applyProtection="1">
      <alignment vertical="center"/>
      <protection locked="0"/>
    </xf>
    <xf numFmtId="0" fontId="28" fillId="0" borderId="0" xfId="0" applyFont="1" applyBorder="1" applyAlignment="1" applyProtection="1">
      <alignment horizontal="center" vertical="center"/>
      <protection locked="0"/>
    </xf>
    <xf numFmtId="0" fontId="28" fillId="0" borderId="0" xfId="0" applyFont="1" applyBorder="1" applyAlignment="1" applyProtection="1">
      <alignment horizontal="left" vertical="center" wrapText="1"/>
      <protection locked="0"/>
    </xf>
    <xf numFmtId="0" fontId="8" fillId="0" borderId="0" xfId="0" applyFont="1" applyBorder="1" applyAlignment="1" applyProtection="1">
      <alignment horizontal="right"/>
      <protection locked="0"/>
    </xf>
    <xf numFmtId="0" fontId="8" fillId="0" borderId="0" xfId="0" applyFont="1" applyAlignment="1" applyProtection="1">
      <alignment horizontal="right"/>
      <protection locked="0"/>
    </xf>
    <xf numFmtId="0" fontId="28" fillId="0" borderId="0" xfId="0" applyFont="1" applyAlignment="1" applyProtection="1">
      <alignment horizontal="right" vertical="center"/>
      <protection locked="0"/>
    </xf>
    <xf numFmtId="0" fontId="8" fillId="0" borderId="0" xfId="0" applyFont="1" applyAlignment="1" applyProtection="1">
      <alignment vertical="center"/>
      <protection locked="0"/>
    </xf>
    <xf numFmtId="0" fontId="28" fillId="0" borderId="0" xfId="0" applyFont="1" applyAlignment="1" applyProtection="1">
      <alignment horizontal="right"/>
      <protection locked="0"/>
    </xf>
    <xf numFmtId="0" fontId="94" fillId="0" borderId="0" xfId="0" applyFont="1" applyAlignment="1" applyProtection="1">
      <alignment vertical="center"/>
      <protection locked="0"/>
    </xf>
    <xf numFmtId="0" fontId="28" fillId="0" borderId="12" xfId="0" applyFont="1" applyBorder="1" applyAlignment="1" applyProtection="1">
      <alignment horizontal="right" vertical="center"/>
      <protection locked="0"/>
    </xf>
    <xf numFmtId="0" fontId="28" fillId="0" borderId="0" xfId="0" applyFont="1" applyProtection="1">
      <protection locked="0"/>
    </xf>
    <xf numFmtId="0" fontId="28" fillId="0" borderId="0" xfId="0" applyFont="1" applyAlignment="1" applyProtection="1">
      <alignment horizontal="left" vertical="center"/>
      <protection locked="0"/>
    </xf>
    <xf numFmtId="0" fontId="28" fillId="0" borderId="0" xfId="0" applyFont="1" applyFill="1" applyBorder="1" applyAlignment="1">
      <alignment horizontal="right" vertical="top" wrapText="1"/>
    </xf>
    <xf numFmtId="0" fontId="28" fillId="0" borderId="0" xfId="0" applyFont="1" applyAlignment="1" applyProtection="1">
      <protection locked="0"/>
    </xf>
    <xf numFmtId="0" fontId="9" fillId="0" borderId="0" xfId="0" applyFont="1" applyAlignment="1" applyProtection="1">
      <alignment vertical="center"/>
      <protection locked="0"/>
    </xf>
    <xf numFmtId="0" fontId="28" fillId="0" borderId="0" xfId="0" applyFont="1" applyAlignment="1" applyProtection="1">
      <alignment horizontal="right" vertical="top"/>
      <protection locked="0"/>
    </xf>
    <xf numFmtId="0" fontId="28" fillId="0" borderId="0" xfId="0" applyFont="1" applyAlignment="1" applyProtection="1">
      <alignment vertical="top"/>
      <protection locked="0"/>
    </xf>
    <xf numFmtId="0" fontId="28" fillId="0" borderId="12" xfId="0" applyFont="1" applyBorder="1" applyAlignment="1" applyProtection="1">
      <alignment horizontal="right" vertical="top"/>
      <protection locked="0"/>
    </xf>
    <xf numFmtId="0" fontId="28" fillId="0" borderId="0" xfId="0" applyFont="1" applyAlignment="1" applyProtection="1">
      <alignment horizontal="left"/>
      <protection locked="0"/>
    </xf>
    <xf numFmtId="0" fontId="28" fillId="0" borderId="0" xfId="0" applyFont="1" applyBorder="1" applyAlignment="1" applyProtection="1">
      <alignment horizontal="right"/>
      <protection locked="0"/>
    </xf>
    <xf numFmtId="2" fontId="96" fillId="0" borderId="0" xfId="0" applyNumberFormat="1" applyFont="1" applyBorder="1" applyAlignment="1" applyProtection="1">
      <alignment horizontal="right" vertical="center"/>
      <protection locked="0"/>
    </xf>
    <xf numFmtId="0" fontId="96" fillId="0" borderId="0" xfId="0" applyFont="1" applyBorder="1" applyAlignment="1" applyProtection="1">
      <alignment horizontal="right" vertical="center"/>
      <protection locked="0"/>
    </xf>
    <xf numFmtId="0" fontId="64" fillId="0" borderId="0" xfId="0" applyFont="1" applyBorder="1" applyAlignment="1" applyProtection="1">
      <alignment horizontal="right"/>
      <protection locked="0"/>
    </xf>
    <xf numFmtId="0" fontId="64" fillId="0" borderId="0" xfId="0" applyFont="1" applyProtection="1">
      <protection locked="0"/>
    </xf>
    <xf numFmtId="0" fontId="8" fillId="0" borderId="0" xfId="0" applyFont="1" applyAlignment="1" applyProtection="1">
      <alignment horizontal="left" vertical="center"/>
      <protection locked="0"/>
    </xf>
    <xf numFmtId="0" fontId="64" fillId="0" borderId="0" xfId="0" applyFont="1" applyAlignment="1" applyProtection="1">
      <alignment horizontal="right"/>
      <protection locked="0"/>
    </xf>
    <xf numFmtId="0" fontId="8" fillId="0" borderId="0" xfId="0" applyFont="1" applyAlignment="1">
      <alignment horizontal="left" vertical="center"/>
    </xf>
    <xf numFmtId="0" fontId="28" fillId="0" borderId="12" xfId="0" applyFont="1" applyBorder="1" applyAlignment="1">
      <alignment horizontal="right"/>
    </xf>
    <xf numFmtId="0" fontId="9" fillId="0" borderId="0" xfId="0" applyFont="1" applyAlignment="1">
      <alignment horizontal="right" vertical="center"/>
    </xf>
    <xf numFmtId="0" fontId="99" fillId="0" borderId="0" xfId="0" applyFont="1" applyAlignment="1">
      <alignment horizontal="left" vertical="center"/>
    </xf>
    <xf numFmtId="0" fontId="28" fillId="0" borderId="0" xfId="0" applyFont="1" applyFill="1" applyBorder="1" applyAlignment="1">
      <alignment horizontal="right" vertical="center"/>
    </xf>
    <xf numFmtId="0" fontId="28" fillId="0" borderId="0" xfId="0" applyFont="1" applyAlignment="1">
      <alignment horizontal="center" vertical="center"/>
    </xf>
    <xf numFmtId="0" fontId="28" fillId="0" borderId="0" xfId="0" applyFont="1" applyBorder="1" applyAlignment="1">
      <alignment horizontal="right" vertical="top"/>
    </xf>
    <xf numFmtId="0" fontId="9" fillId="0" borderId="0" xfId="0" applyFont="1" applyBorder="1" applyAlignment="1">
      <alignment horizontal="right" vertical="top"/>
    </xf>
    <xf numFmtId="0" fontId="99"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28" fillId="0" borderId="0" xfId="0" applyFont="1" applyAlignment="1">
      <alignment horizontal="right" vertical="top"/>
    </xf>
    <xf numFmtId="0" fontId="99" fillId="0" borderId="0" xfId="0" applyFont="1"/>
    <xf numFmtId="0" fontId="44" fillId="0" borderId="0" xfId="0" applyFont="1" applyBorder="1"/>
    <xf numFmtId="0" fontId="96" fillId="0" borderId="0" xfId="0" applyFont="1" applyAlignment="1">
      <alignment horizontal="right"/>
    </xf>
    <xf numFmtId="0" fontId="96" fillId="0" borderId="0" xfId="0" applyFont="1" applyBorder="1" applyAlignment="1">
      <alignment horizontal="right" vertical="center"/>
    </xf>
    <xf numFmtId="0" fontId="96" fillId="0" borderId="12" xfId="0" applyFont="1" applyBorder="1" applyAlignment="1">
      <alignment horizontal="right" vertical="center"/>
    </xf>
    <xf numFmtId="0" fontId="28" fillId="0" borderId="0" xfId="0" applyFont="1" applyAlignment="1">
      <alignment horizontal="left" vertical="center"/>
    </xf>
    <xf numFmtId="0" fontId="28" fillId="0" borderId="0" xfId="0" applyFont="1" applyFill="1" applyBorder="1" applyAlignment="1">
      <alignment horizontal="left" vertical="center"/>
    </xf>
    <xf numFmtId="0" fontId="8" fillId="0" borderId="0" xfId="0" applyFont="1" applyAlignment="1">
      <alignment horizontal="right" vertical="center"/>
    </xf>
    <xf numFmtId="0" fontId="28" fillId="0" borderId="12" xfId="0" applyFont="1" applyBorder="1" applyAlignment="1">
      <alignment horizontal="left" vertical="center"/>
    </xf>
    <xf numFmtId="0" fontId="28" fillId="0" borderId="12" xfId="0" applyFont="1" applyFill="1" applyBorder="1" applyAlignment="1">
      <alignment horizontal="left" vertical="top"/>
    </xf>
    <xf numFmtId="0" fontId="28" fillId="0" borderId="0" xfId="0" applyFont="1" applyBorder="1" applyAlignment="1">
      <alignment vertical="top"/>
    </xf>
    <xf numFmtId="0" fontId="28" fillId="0" borderId="0" xfId="0" applyFont="1" applyAlignment="1">
      <alignment vertical="top"/>
    </xf>
    <xf numFmtId="0" fontId="28" fillId="0" borderId="0" xfId="0" applyFont="1" applyFill="1" applyBorder="1" applyAlignment="1">
      <alignment horizontal="left" vertical="top"/>
    </xf>
    <xf numFmtId="0" fontId="99" fillId="0" borderId="0" xfId="0" applyFont="1" applyAlignment="1">
      <alignment horizontal="right" vertical="center"/>
    </xf>
    <xf numFmtId="0" fontId="28" fillId="0" borderId="0" xfId="0" applyFont="1" applyFill="1" applyBorder="1" applyAlignment="1">
      <alignment horizontal="right"/>
    </xf>
    <xf numFmtId="0" fontId="17" fillId="0" borderId="18" xfId="0" applyFont="1" applyBorder="1" applyAlignment="1">
      <alignment horizontal="center" vertical="center" wrapText="1"/>
    </xf>
    <xf numFmtId="0" fontId="17" fillId="0" borderId="12" xfId="0" applyFont="1" applyBorder="1" applyAlignment="1">
      <alignment horizontal="center" vertical="center" wrapText="1"/>
    </xf>
    <xf numFmtId="2" fontId="16" fillId="0" borderId="13" xfId="0" quotePrefix="1" applyNumberFormat="1" applyFont="1" applyBorder="1" applyAlignment="1">
      <alignment horizontal="center" vertical="center"/>
    </xf>
    <xf numFmtId="0" fontId="102" fillId="0" borderId="0" xfId="0" applyFont="1"/>
    <xf numFmtId="0" fontId="30" fillId="0" borderId="0" xfId="0" applyFont="1" applyBorder="1" applyAlignment="1">
      <alignment horizontal="center" vertical="center"/>
    </xf>
    <xf numFmtId="0" fontId="30" fillId="0" borderId="21" xfId="0" quotePrefix="1" applyFont="1" applyBorder="1" applyAlignment="1">
      <alignment horizontal="center" vertical="center"/>
    </xf>
    <xf numFmtId="0" fontId="30" fillId="0" borderId="15" xfId="0" quotePrefix="1" applyFont="1" applyBorder="1" applyAlignment="1">
      <alignment horizontal="center" vertical="center"/>
    </xf>
    <xf numFmtId="0" fontId="30" fillId="0" borderId="14" xfId="0" quotePrefix="1" applyFont="1" applyBorder="1" applyAlignment="1">
      <alignment horizontal="center" vertical="center"/>
    </xf>
    <xf numFmtId="0" fontId="30" fillId="0" borderId="21" xfId="0" applyFont="1" applyBorder="1" applyAlignment="1">
      <alignment horizontal="center" vertical="center"/>
    </xf>
    <xf numFmtId="0" fontId="30" fillId="0" borderId="14" xfId="0" applyFont="1" applyBorder="1" applyAlignment="1">
      <alignment horizontal="center" vertical="center"/>
    </xf>
    <xf numFmtId="0" fontId="14" fillId="0" borderId="14" xfId="0" applyFont="1" applyBorder="1" applyAlignment="1">
      <alignment horizontal="center" vertical="center" wrapText="1"/>
    </xf>
    <xf numFmtId="0" fontId="26" fillId="0" borderId="16" xfId="0" applyFont="1" applyBorder="1" applyAlignment="1">
      <alignment horizontal="left" vertical="center"/>
    </xf>
    <xf numFmtId="1" fontId="3" fillId="0" borderId="16" xfId="0" applyNumberFormat="1" applyFont="1" applyBorder="1" applyAlignment="1">
      <alignment horizontal="center" vertical="center"/>
    </xf>
    <xf numFmtId="3" fontId="17" fillId="0" borderId="20" xfId="0" applyNumberFormat="1" applyFont="1" applyBorder="1" applyAlignment="1">
      <alignment horizontal="center" vertical="center"/>
    </xf>
    <xf numFmtId="3" fontId="17" fillId="0" borderId="11" xfId="0" applyNumberFormat="1" applyFont="1" applyBorder="1" applyAlignment="1">
      <alignment horizontal="center" vertical="center"/>
    </xf>
    <xf numFmtId="3" fontId="17" fillId="0" borderId="13" xfId="0" applyNumberFormat="1" applyFont="1" applyBorder="1" applyAlignment="1">
      <alignment horizontal="center" vertical="center"/>
    </xf>
    <xf numFmtId="3" fontId="3" fillId="0" borderId="19" xfId="0" quotePrefix="1" applyNumberFormat="1" applyFont="1" applyBorder="1" applyAlignment="1">
      <alignment horizontal="center" vertical="center"/>
    </xf>
    <xf numFmtId="3" fontId="3" fillId="0" borderId="24" xfId="0" quotePrefix="1" applyNumberFormat="1" applyFont="1" applyBorder="1" applyAlignment="1">
      <alignment horizontal="center" vertical="center"/>
    </xf>
    <xf numFmtId="3" fontId="3" fillId="0" borderId="12" xfId="0" quotePrefix="1" applyNumberFormat="1" applyFont="1" applyBorder="1" applyAlignment="1">
      <alignment horizontal="center" vertical="center"/>
    </xf>
    <xf numFmtId="3" fontId="3" fillId="0" borderId="23" xfId="0" quotePrefix="1" applyNumberFormat="1" applyFont="1" applyBorder="1" applyAlignment="1">
      <alignment horizontal="center" vertical="center"/>
    </xf>
    <xf numFmtId="3" fontId="3" fillId="0" borderId="20" xfId="0" quotePrefix="1" applyNumberFormat="1" applyFont="1" applyBorder="1" applyAlignment="1">
      <alignment horizontal="center" vertical="center"/>
    </xf>
    <xf numFmtId="3" fontId="3" fillId="0" borderId="11" xfId="0" quotePrefix="1" applyNumberFormat="1" applyFont="1" applyBorder="1" applyAlignment="1">
      <alignment horizontal="center" vertical="center"/>
    </xf>
    <xf numFmtId="3" fontId="3" fillId="0" borderId="13" xfId="0" quotePrefix="1" applyNumberFormat="1" applyFont="1" applyBorder="1" applyAlignment="1">
      <alignment horizontal="center" vertical="center"/>
    </xf>
    <xf numFmtId="0" fontId="0" fillId="0" borderId="0" xfId="0" quotePrefix="1" applyBorder="1" applyAlignment="1">
      <alignment horizontal="center" vertical="center"/>
    </xf>
    <xf numFmtId="165" fontId="3" fillId="0" borderId="0" xfId="0" applyNumberFormat="1" applyFont="1" applyBorder="1" applyAlignment="1">
      <alignment horizontal="center" vertical="center"/>
    </xf>
    <xf numFmtId="1" fontId="3" fillId="0" borderId="0" xfId="0" quotePrefix="1" applyNumberFormat="1" applyFont="1" applyBorder="1" applyAlignment="1">
      <alignment horizontal="center" vertical="center"/>
    </xf>
    <xf numFmtId="165" fontId="3" fillId="0" borderId="10" xfId="0" applyNumberFormat="1" applyFont="1" applyBorder="1" applyAlignment="1">
      <alignment horizontal="center" vertical="center"/>
    </xf>
    <xf numFmtId="0" fontId="28" fillId="0" borderId="0" xfId="0" applyFont="1" applyBorder="1"/>
    <xf numFmtId="1" fontId="8" fillId="0" borderId="0" xfId="0" applyNumberFormat="1" applyFont="1"/>
    <xf numFmtId="0" fontId="3" fillId="0" borderId="15" xfId="136" applyNumberFormat="1" applyFont="1" applyBorder="1" applyAlignment="1">
      <alignment horizontal="center" vertical="center"/>
    </xf>
    <xf numFmtId="0" fontId="50" fillId="24" borderId="15" xfId="0" applyFont="1" applyFill="1" applyBorder="1" applyAlignment="1" applyProtection="1">
      <alignment horizontal="center" vertical="center"/>
      <protection locked="0"/>
    </xf>
    <xf numFmtId="0" fontId="26" fillId="0" borderId="15" xfId="0" quotePrefix="1" applyFont="1" applyFill="1" applyBorder="1" applyAlignment="1">
      <alignment horizontal="center" vertical="center"/>
    </xf>
    <xf numFmtId="0" fontId="62" fillId="0" borderId="19" xfId="0" quotePrefix="1" applyFont="1" applyFill="1" applyBorder="1" applyAlignment="1">
      <alignment horizontal="center" vertical="center"/>
    </xf>
    <xf numFmtId="0" fontId="3" fillId="0" borderId="12" xfId="0" applyFont="1" applyBorder="1" applyAlignment="1" applyProtection="1">
      <alignment horizontal="center" vertical="center"/>
      <protection locked="0"/>
    </xf>
    <xf numFmtId="2" fontId="3" fillId="0" borderId="18"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22"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2" fontId="3" fillId="0" borderId="23" xfId="0" applyNumberFormat="1" applyFont="1" applyBorder="1" applyAlignment="1">
      <alignment horizontal="center" vertical="center" wrapText="1"/>
    </xf>
    <xf numFmtId="2" fontId="3" fillId="0" borderId="16" xfId="0" applyNumberFormat="1" applyFont="1" applyBorder="1" applyAlignment="1">
      <alignment horizontal="center" vertical="center" wrapText="1"/>
    </xf>
    <xf numFmtId="0" fontId="26" fillId="0" borderId="18" xfId="0" applyFont="1" applyBorder="1" applyAlignment="1">
      <alignment horizontal="left" vertical="center"/>
    </xf>
    <xf numFmtId="2" fontId="3" fillId="0" borderId="12" xfId="0" applyNumberFormat="1" applyFont="1" applyBorder="1" applyAlignment="1">
      <alignment horizontal="center" vertical="center"/>
    </xf>
    <xf numFmtId="0" fontId="28" fillId="0" borderId="12" xfId="0" applyFont="1" applyBorder="1" applyAlignment="1"/>
    <xf numFmtId="0" fontId="3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36" fillId="0" borderId="24" xfId="0" applyFont="1" applyBorder="1" applyAlignment="1">
      <alignment horizontal="center" vertical="center" wrapText="1"/>
    </xf>
    <xf numFmtId="0" fontId="77" fillId="0" borderId="16" xfId="0" applyFont="1" applyBorder="1" applyAlignment="1">
      <alignment horizontal="left" vertical="center" wrapText="1"/>
    </xf>
    <xf numFmtId="0" fontId="24" fillId="0" borderId="21" xfId="0" applyFont="1" applyBorder="1" applyAlignment="1">
      <alignment horizontal="center" vertical="center" wrapText="1"/>
    </xf>
    <xf numFmtId="0" fontId="3" fillId="0" borderId="24" xfId="0" applyFont="1" applyBorder="1" applyAlignment="1" applyProtection="1">
      <alignment horizontal="center" vertical="center"/>
      <protection locked="0"/>
    </xf>
    <xf numFmtId="0" fontId="95" fillId="0" borderId="17" xfId="0" applyFont="1" applyBorder="1" applyAlignment="1">
      <alignment horizontal="center" vertical="center"/>
    </xf>
    <xf numFmtId="1" fontId="25" fillId="0" borderId="18" xfId="0" applyNumberFormat="1" applyFont="1" applyBorder="1" applyAlignment="1">
      <alignment horizontal="center" vertical="center" wrapText="1"/>
    </xf>
    <xf numFmtId="0" fontId="14" fillId="0" borderId="22" xfId="0" applyFont="1" applyBorder="1" applyAlignment="1">
      <alignment horizontal="center" vertical="center"/>
    </xf>
    <xf numFmtId="1" fontId="3" fillId="0" borderId="23" xfId="0" applyNumberFormat="1" applyFont="1" applyBorder="1" applyAlignment="1">
      <alignment horizontal="center" vertical="center"/>
    </xf>
    <xf numFmtId="0" fontId="24"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99" fillId="0" borderId="0" xfId="0" applyFont="1" applyBorder="1" applyAlignment="1">
      <alignment horizontal="right" vertical="center"/>
    </xf>
    <xf numFmtId="0" fontId="124" fillId="0" borderId="0" xfId="0" applyFont="1"/>
    <xf numFmtId="0" fontId="90" fillId="0" borderId="20" xfId="0" applyFont="1" applyBorder="1" applyAlignment="1">
      <alignment horizontal="center" vertical="center" wrapText="1"/>
    </xf>
    <xf numFmtId="0" fontId="25" fillId="0" borderId="11" xfId="0" quotePrefix="1" applyFont="1" applyBorder="1" applyAlignment="1" applyProtection="1">
      <alignment horizontal="center" vertical="center"/>
      <protection locked="0"/>
    </xf>
    <xf numFmtId="0" fontId="3" fillId="0" borderId="13" xfId="0" quotePrefix="1" applyFont="1" applyBorder="1" applyAlignment="1" applyProtection="1">
      <alignment horizontal="center" vertical="center"/>
      <protection locked="0"/>
    </xf>
    <xf numFmtId="0" fontId="3" fillId="0" borderId="18" xfId="0" quotePrefix="1" applyFont="1" applyBorder="1" applyAlignment="1">
      <alignment horizontal="center" vertical="center"/>
    </xf>
    <xf numFmtId="1" fontId="0" fillId="0" borderId="0" xfId="0" applyNumberFormat="1" applyBorder="1" applyAlignment="1">
      <alignment horizontal="center" vertical="center"/>
    </xf>
    <xf numFmtId="0" fontId="50" fillId="0" borderId="15" xfId="0" applyFont="1" applyBorder="1" applyAlignment="1">
      <alignment horizontal="center" vertical="center"/>
    </xf>
    <xf numFmtId="0" fontId="50" fillId="0" borderId="15" xfId="0" quotePrefix="1" applyFont="1" applyBorder="1" applyAlignment="1">
      <alignment horizontal="center" vertical="center"/>
    </xf>
    <xf numFmtId="0" fontId="50" fillId="0" borderId="14" xfId="0" applyFont="1" applyBorder="1" applyAlignment="1">
      <alignment horizontal="center" vertical="center"/>
    </xf>
    <xf numFmtId="0" fontId="50" fillId="0" borderId="22" xfId="0" applyFont="1" applyBorder="1" applyAlignment="1">
      <alignment horizontal="center" vertical="center"/>
    </xf>
    <xf numFmtId="0" fontId="50" fillId="0" borderId="10" xfId="0" applyFont="1" applyBorder="1" applyAlignment="1">
      <alignment horizontal="center" vertical="center"/>
    </xf>
    <xf numFmtId="0" fontId="50" fillId="0" borderId="22" xfId="0" quotePrefix="1" applyFont="1" applyBorder="1" applyAlignment="1">
      <alignment horizontal="center" vertical="center"/>
    </xf>
    <xf numFmtId="0" fontId="50" fillId="0" borderId="16" xfId="0" applyFont="1" applyBorder="1" applyAlignment="1">
      <alignment horizontal="center" vertical="center"/>
    </xf>
    <xf numFmtId="1" fontId="0" fillId="0" borderId="17" xfId="0" applyNumberFormat="1" applyBorder="1" applyAlignment="1">
      <alignment horizontal="center" vertical="center"/>
    </xf>
    <xf numFmtId="0" fontId="16" fillId="0" borderId="18" xfId="0" quotePrefix="1" applyFont="1" applyBorder="1" applyAlignment="1">
      <alignment horizontal="center" vertical="center"/>
    </xf>
    <xf numFmtId="0" fontId="0" fillId="24" borderId="15" xfId="0" applyFill="1" applyBorder="1" applyAlignment="1">
      <alignment horizontal="center" vertical="center" wrapText="1"/>
    </xf>
    <xf numFmtId="0" fontId="0" fillId="24" borderId="18" xfId="0" applyFill="1" applyBorder="1" applyAlignment="1">
      <alignment horizontal="center" vertical="center" wrapText="1"/>
    </xf>
    <xf numFmtId="0" fontId="3" fillId="0" borderId="14" xfId="0" quotePrefix="1" applyFont="1" applyBorder="1" applyAlignment="1">
      <alignment horizontal="center" vertical="center"/>
    </xf>
    <xf numFmtId="0" fontId="33" fillId="0" borderId="24" xfId="0" applyFont="1" applyBorder="1" applyAlignment="1" applyProtection="1">
      <alignment horizontal="center" vertical="center"/>
      <protection locked="0"/>
    </xf>
    <xf numFmtId="0" fontId="29" fillId="0" borderId="0" xfId="0" applyFont="1"/>
    <xf numFmtId="0" fontId="99" fillId="0" borderId="0" xfId="0" applyFont="1" applyAlignment="1">
      <alignment horizontal="right"/>
    </xf>
    <xf numFmtId="0" fontId="71" fillId="0" borderId="0" xfId="0" applyFont="1" applyAlignment="1">
      <alignment horizontal="center" vertical="center" wrapText="1"/>
    </xf>
    <xf numFmtId="0" fontId="34" fillId="0" borderId="14" xfId="0" applyFont="1" applyBorder="1"/>
    <xf numFmtId="0" fontId="34" fillId="0" borderId="14" xfId="0" applyFont="1" applyBorder="1" applyAlignment="1">
      <alignment vertical="center"/>
    </xf>
    <xf numFmtId="0" fontId="34" fillId="0" borderId="16" xfId="0" applyFont="1" applyBorder="1"/>
    <xf numFmtId="0" fontId="34" fillId="0" borderId="14" xfId="0" applyFont="1" applyBorder="1" applyAlignment="1">
      <alignment wrapText="1"/>
    </xf>
    <xf numFmtId="0" fontId="34" fillId="0" borderId="14" xfId="0" applyFont="1" applyBorder="1" applyAlignment="1">
      <alignment horizontal="left"/>
    </xf>
    <xf numFmtId="0" fontId="127" fillId="0" borderId="14" xfId="0" applyFont="1" applyBorder="1" applyAlignment="1">
      <alignment horizontal="center" vertical="center"/>
    </xf>
    <xf numFmtId="0" fontId="28" fillId="0" borderId="0" xfId="0" applyFont="1" applyAlignment="1" applyProtection="1">
      <alignment vertical="top" wrapText="1"/>
      <protection locked="0"/>
    </xf>
    <xf numFmtId="0" fontId="14" fillId="0" borderId="15" xfId="0" applyFont="1" applyFill="1" applyBorder="1" applyAlignment="1">
      <alignment vertical="center"/>
    </xf>
    <xf numFmtId="0" fontId="14" fillId="0" borderId="15" xfId="0" applyFont="1" applyFill="1" applyBorder="1" applyAlignment="1">
      <alignment horizontal="left" vertical="center"/>
    </xf>
    <xf numFmtId="0" fontId="128" fillId="0" borderId="0" xfId="0" applyFont="1" applyBorder="1" applyAlignment="1">
      <alignment horizontal="right" vertical="center"/>
    </xf>
    <xf numFmtId="0" fontId="28" fillId="0" borderId="10" xfId="0" applyFont="1" applyBorder="1" applyAlignment="1">
      <alignment horizontal="left" vertical="center"/>
    </xf>
    <xf numFmtId="0" fontId="68" fillId="0" borderId="0" xfId="0" applyFont="1" applyAlignment="1">
      <alignment horizontal="right" vertical="center"/>
    </xf>
    <xf numFmtId="0" fontId="129" fillId="0" borderId="0" xfId="0" applyFont="1" applyAlignment="1">
      <alignment vertical="center"/>
    </xf>
    <xf numFmtId="0" fontId="28" fillId="0" borderId="0" xfId="0" applyFont="1" applyAlignment="1">
      <alignment horizontal="left" vertical="top"/>
    </xf>
    <xf numFmtId="0" fontId="68" fillId="0" borderId="10" xfId="0" quotePrefix="1" applyFont="1" applyBorder="1" applyAlignment="1">
      <alignment horizontal="right" vertical="center"/>
    </xf>
    <xf numFmtId="0" fontId="8" fillId="0" borderId="0" xfId="0" applyFont="1" applyBorder="1" applyAlignment="1">
      <alignment horizontal="left" vertical="center"/>
    </xf>
    <xf numFmtId="0" fontId="68" fillId="0" borderId="10" xfId="0" applyFont="1" applyBorder="1" applyAlignment="1">
      <alignment horizontal="right"/>
    </xf>
    <xf numFmtId="0" fontId="71" fillId="0" borderId="0" xfId="0" applyFont="1" applyBorder="1" applyAlignment="1">
      <alignment horizontal="center" vertical="center"/>
    </xf>
    <xf numFmtId="0" fontId="131" fillId="0" borderId="10" xfId="0" applyFont="1" applyBorder="1" applyAlignment="1">
      <alignment horizontal="right" vertical="center"/>
    </xf>
    <xf numFmtId="0" fontId="47" fillId="0" borderId="21" xfId="0" applyFont="1" applyBorder="1" applyAlignment="1">
      <alignment vertical="center"/>
    </xf>
    <xf numFmtId="0" fontId="47" fillId="0" borderId="14" xfId="0" applyFont="1" applyBorder="1" applyAlignment="1">
      <alignment vertical="center"/>
    </xf>
    <xf numFmtId="0" fontId="47" fillId="0" borderId="0" xfId="0" applyFont="1" applyBorder="1" applyAlignment="1">
      <alignment vertical="center"/>
    </xf>
    <xf numFmtId="0" fontId="132" fillId="0" borderId="10" xfId="0" applyFont="1" applyBorder="1" applyAlignment="1">
      <alignment horizontal="left" vertical="center"/>
    </xf>
    <xf numFmtId="0" fontId="9" fillId="0" borderId="0" xfId="0" applyFont="1" applyAlignment="1" applyProtection="1">
      <alignment horizontal="right"/>
      <protection locked="0"/>
    </xf>
    <xf numFmtId="0" fontId="68" fillId="0" borderId="0" xfId="0" applyFont="1" applyBorder="1" applyAlignment="1">
      <alignment horizontal="right"/>
    </xf>
    <xf numFmtId="0" fontId="68" fillId="0" borderId="0" xfId="0" applyFont="1" applyBorder="1" applyAlignment="1">
      <alignment horizontal="right" vertical="top" wrapText="1"/>
    </xf>
    <xf numFmtId="0" fontId="68" fillId="0" borderId="0" xfId="0" applyFont="1" applyAlignment="1">
      <alignment horizontal="right"/>
    </xf>
    <xf numFmtId="0" fontId="99" fillId="0" borderId="0" xfId="0" quotePrefix="1" applyFont="1" applyAlignment="1">
      <alignment horizontal="right"/>
    </xf>
    <xf numFmtId="2" fontId="54" fillId="0" borderId="21" xfId="0" applyNumberFormat="1" applyFont="1" applyBorder="1" applyAlignment="1" applyProtection="1">
      <alignment horizontal="center" vertical="center"/>
      <protection locked="0"/>
    </xf>
    <xf numFmtId="2" fontId="54" fillId="0" borderId="15" xfId="0" applyNumberFormat="1" applyFont="1" applyBorder="1" applyAlignment="1" applyProtection="1">
      <alignment horizontal="center" vertical="center"/>
      <protection locked="0"/>
    </xf>
    <xf numFmtId="2" fontId="26" fillId="0" borderId="21" xfId="0" applyNumberFormat="1" applyFont="1" applyBorder="1" applyAlignment="1">
      <alignment horizontal="left" vertical="center"/>
    </xf>
    <xf numFmtId="0" fontId="52" fillId="0" borderId="0" xfId="0" applyFont="1" applyFill="1" applyBorder="1" applyAlignment="1">
      <alignment horizontal="center" vertical="center"/>
    </xf>
    <xf numFmtId="0" fontId="52" fillId="0" borderId="15" xfId="0" applyFont="1" applyFill="1" applyBorder="1" applyAlignment="1" applyProtection="1">
      <alignment horizontal="center" vertical="center"/>
      <protection locked="0"/>
    </xf>
    <xf numFmtId="0" fontId="52" fillId="0" borderId="14"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protection locked="0"/>
    </xf>
    <xf numFmtId="0" fontId="52" fillId="0" borderId="15"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2" fillId="0" borderId="15" xfId="0" applyFont="1" applyBorder="1" applyAlignment="1">
      <alignment horizontal="center" vertical="center"/>
    </xf>
    <xf numFmtId="0" fontId="52" fillId="0" borderId="14" xfId="0" applyFont="1" applyBorder="1" applyAlignment="1">
      <alignment horizontal="center" vertical="center"/>
    </xf>
    <xf numFmtId="0" fontId="52" fillId="0" borderId="0" xfId="0" applyFont="1" applyBorder="1" applyAlignment="1">
      <alignment horizontal="center" vertical="center"/>
    </xf>
    <xf numFmtId="0" fontId="52" fillId="0" borderId="14" xfId="0" applyFont="1" applyBorder="1" applyAlignment="1" applyProtection="1">
      <alignment horizontal="center" vertical="center"/>
      <protection locked="0"/>
    </xf>
    <xf numFmtId="0" fontId="52" fillId="0" borderId="15" xfId="0" applyFont="1" applyBorder="1" applyAlignment="1">
      <alignment horizontal="center"/>
    </xf>
    <xf numFmtId="0" fontId="52" fillId="0" borderId="14" xfId="0" applyFont="1" applyBorder="1" applyAlignment="1">
      <alignment horizontal="center"/>
    </xf>
    <xf numFmtId="0" fontId="52" fillId="0" borderId="15" xfId="0" quotePrefix="1" applyFont="1" applyBorder="1" applyAlignment="1" applyProtection="1">
      <alignment horizontal="center" vertical="center"/>
      <protection locked="0"/>
    </xf>
    <xf numFmtId="0" fontId="52" fillId="0" borderId="14" xfId="0" quotePrefix="1" applyFont="1" applyBorder="1" applyAlignment="1" applyProtection="1">
      <alignment horizontal="center" vertical="center"/>
      <protection locked="0"/>
    </xf>
    <xf numFmtId="0" fontId="52" fillId="0" borderId="22" xfId="0" applyFont="1" applyBorder="1" applyAlignment="1">
      <alignment horizontal="center" vertical="center"/>
    </xf>
    <xf numFmtId="0" fontId="52" fillId="0" borderId="16" xfId="0" applyFont="1" applyBorder="1" applyAlignment="1">
      <alignment horizontal="center" vertical="center"/>
    </xf>
    <xf numFmtId="0" fontId="68" fillId="0" borderId="0" xfId="0" applyFont="1" applyBorder="1" applyAlignment="1">
      <alignment horizontal="right" vertical="center" wrapText="1"/>
    </xf>
    <xf numFmtId="0" fontId="91" fillId="0" borderId="21" xfId="0" applyFont="1" applyBorder="1" applyAlignment="1">
      <alignment vertical="center"/>
    </xf>
    <xf numFmtId="0" fontId="90" fillId="0" borderId="0" xfId="0" applyFont="1" applyBorder="1" applyAlignment="1">
      <alignment horizontal="center" vertical="center"/>
    </xf>
    <xf numFmtId="0" fontId="130" fillId="0" borderId="0" xfId="0" applyFont="1" applyBorder="1" applyAlignment="1">
      <alignment horizontal="right" vertical="center" wrapText="1"/>
    </xf>
    <xf numFmtId="0" fontId="134" fillId="0" borderId="0" xfId="0" applyFont="1" applyAlignment="1">
      <alignment horizontal="right"/>
    </xf>
    <xf numFmtId="0" fontId="68" fillId="0" borderId="10" xfId="0" applyFont="1" applyBorder="1" applyAlignment="1">
      <alignment horizontal="right" vertical="center" wrapText="1"/>
    </xf>
    <xf numFmtId="0" fontId="28" fillId="0" borderId="10" xfId="0" applyFont="1" applyBorder="1" applyAlignment="1">
      <alignment vertical="center"/>
    </xf>
    <xf numFmtId="0" fontId="80" fillId="0" borderId="0" xfId="0" applyFont="1" applyAlignment="1">
      <alignment horizontal="right" vertical="center"/>
    </xf>
    <xf numFmtId="0" fontId="135" fillId="0" borderId="0" xfId="0" applyFont="1" applyAlignment="1">
      <alignment horizontal="left"/>
    </xf>
    <xf numFmtId="0" fontId="136" fillId="0" borderId="0" xfId="0" applyFont="1" applyAlignment="1">
      <alignment horizontal="left"/>
    </xf>
    <xf numFmtId="0" fontId="80" fillId="0" borderId="0" xfId="0" applyFont="1" applyBorder="1" applyAlignment="1">
      <alignment horizontal="right"/>
    </xf>
    <xf numFmtId="2" fontId="2" fillId="0" borderId="16" xfId="0" applyNumberFormat="1" applyFont="1" applyBorder="1" applyAlignment="1">
      <alignment horizontal="center" vertical="center"/>
    </xf>
    <xf numFmtId="0" fontId="16" fillId="0" borderId="20" xfId="0" quotePrefix="1" applyFont="1" applyBorder="1" applyAlignment="1">
      <alignment horizontal="center" vertical="center" wrapText="1"/>
    </xf>
    <xf numFmtId="0" fontId="47" fillId="0" borderId="16" xfId="0" applyFont="1" applyBorder="1" applyAlignment="1">
      <alignment vertical="center"/>
    </xf>
    <xf numFmtId="0" fontId="26" fillId="0" borderId="22" xfId="0" quotePrefix="1" applyFont="1" applyFill="1" applyBorder="1" applyAlignment="1">
      <alignment horizontal="center" vertical="center"/>
    </xf>
    <xf numFmtId="0" fontId="33" fillId="0" borderId="19" xfId="0" applyFont="1" applyFill="1" applyBorder="1" applyAlignment="1">
      <alignment horizontal="center" vertical="center" wrapText="1"/>
    </xf>
    <xf numFmtId="0" fontId="26" fillId="0" borderId="11" xfId="0" applyFont="1" applyBorder="1" applyAlignment="1">
      <alignment horizontal="center" vertical="center" wrapText="1" shrinkToFit="1"/>
    </xf>
    <xf numFmtId="0" fontId="96" fillId="0" borderId="10" xfId="0" applyFont="1" applyBorder="1" applyAlignment="1">
      <alignment horizontal="right" vertical="center"/>
    </xf>
    <xf numFmtId="2" fontId="24" fillId="0" borderId="15" xfId="0" applyNumberFormat="1" applyFont="1" applyFill="1" applyBorder="1" applyAlignment="1">
      <alignment horizontal="center" vertical="center"/>
    </xf>
    <xf numFmtId="2" fontId="24" fillId="0" borderId="15" xfId="0" quotePrefix="1" applyNumberFormat="1" applyFont="1" applyFill="1" applyBorder="1" applyAlignment="1">
      <alignment horizontal="center" vertical="center"/>
    </xf>
    <xf numFmtId="0" fontId="45" fillId="0" borderId="14" xfId="0" applyFont="1" applyFill="1" applyBorder="1" applyAlignment="1">
      <alignment horizontal="center" vertical="center"/>
    </xf>
    <xf numFmtId="1" fontId="0" fillId="0" borderId="10" xfId="0" applyNumberFormat="1" applyBorder="1" applyAlignment="1">
      <alignment horizontal="center" vertical="center"/>
    </xf>
    <xf numFmtId="1" fontId="33" fillId="0" borderId="18" xfId="0" applyNumberFormat="1" applyFont="1" applyBorder="1" applyAlignment="1">
      <alignment horizontal="center" vertical="center"/>
    </xf>
    <xf numFmtId="1" fontId="33" fillId="0" borderId="15" xfId="0" applyNumberFormat="1" applyFont="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42" fillId="0" borderId="20" xfId="0" quotePrefix="1" applyFont="1" applyBorder="1" applyAlignment="1">
      <alignment horizontal="center" vertical="center" wrapText="1"/>
    </xf>
    <xf numFmtId="0" fontId="87" fillId="0" borderId="0" xfId="0" applyFont="1" applyAlignment="1">
      <alignment vertical="center"/>
    </xf>
    <xf numFmtId="0" fontId="91" fillId="0" borderId="0" xfId="0" applyFont="1" applyAlignment="1">
      <alignment vertical="center"/>
    </xf>
    <xf numFmtId="0" fontId="96" fillId="0" borderId="0" xfId="0" applyFont="1" applyFill="1" applyBorder="1" applyAlignment="1">
      <alignment horizontal="right" vertical="center"/>
    </xf>
    <xf numFmtId="0" fontId="96" fillId="0" borderId="0" xfId="0" applyFont="1" applyAlignment="1">
      <alignment vertical="center"/>
    </xf>
    <xf numFmtId="0" fontId="9" fillId="0" borderId="12" xfId="0" applyFont="1" applyBorder="1" applyAlignment="1">
      <alignment vertical="top"/>
    </xf>
    <xf numFmtId="0" fontId="9" fillId="0" borderId="0" xfId="0" applyFont="1" applyAlignment="1">
      <alignment vertical="top"/>
    </xf>
    <xf numFmtId="0" fontId="99" fillId="0" borderId="0" xfId="0" applyFont="1" applyBorder="1" applyAlignment="1">
      <alignment horizontal="right" vertical="top"/>
    </xf>
    <xf numFmtId="0" fontId="28" fillId="0" borderId="0" xfId="0" applyFont="1" applyFill="1" applyBorder="1" applyAlignment="1">
      <alignment vertical="top"/>
    </xf>
    <xf numFmtId="0" fontId="91" fillId="0" borderId="13" xfId="0" applyFont="1" applyBorder="1" applyAlignment="1">
      <alignment horizontal="center" vertical="center"/>
    </xf>
    <xf numFmtId="0" fontId="14" fillId="0" borderId="15" xfId="0" applyFont="1" applyBorder="1" applyAlignment="1">
      <alignment horizontal="center" vertical="center" wrapText="1"/>
    </xf>
    <xf numFmtId="0" fontId="17" fillId="0" borderId="2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1" fontId="0" fillId="0" borderId="18" xfId="0" applyNumberFormat="1" applyBorder="1" applyAlignment="1">
      <alignment horizontal="center" vertical="center"/>
    </xf>
    <xf numFmtId="1" fontId="2" fillId="0" borderId="14" xfId="0" applyNumberFormat="1" applyFont="1" applyBorder="1" applyAlignment="1">
      <alignment horizontal="center" vertical="center"/>
    </xf>
    <xf numFmtId="1" fontId="0" fillId="0" borderId="15" xfId="0" applyNumberFormat="1" applyBorder="1" applyAlignment="1">
      <alignment horizontal="center" vertical="center" wrapText="1"/>
    </xf>
    <xf numFmtId="0" fontId="91" fillId="0" borderId="13" xfId="0" applyFont="1" applyBorder="1" applyAlignment="1">
      <alignment horizontal="center" vertical="center" wrapText="1"/>
    </xf>
    <xf numFmtId="0" fontId="28" fillId="0" borderId="0" xfId="0" applyFont="1" applyFill="1" applyBorder="1" applyAlignment="1">
      <alignment vertical="center"/>
    </xf>
    <xf numFmtId="0" fontId="26" fillId="0" borderId="0" xfId="0" applyFont="1" applyFill="1" applyBorder="1" applyAlignment="1">
      <alignment vertical="center"/>
    </xf>
    <xf numFmtId="0" fontId="26" fillId="0" borderId="19" xfId="0" applyFont="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2" xfId="0" applyFont="1" applyFill="1" applyBorder="1" applyAlignment="1">
      <alignment horizontal="center" vertical="center"/>
    </xf>
    <xf numFmtId="0" fontId="24" fillId="0" borderId="13" xfId="0" applyFont="1" applyBorder="1" applyAlignment="1">
      <alignment horizontal="center" vertical="center" wrapText="1"/>
    </xf>
    <xf numFmtId="0" fontId="137" fillId="0" borderId="0" xfId="0" applyFont="1" applyAlignment="1">
      <alignment vertical="center"/>
    </xf>
    <xf numFmtId="0" fontId="33" fillId="0" borderId="16" xfId="0" applyFont="1" applyBorder="1" applyAlignment="1">
      <alignment horizontal="left" vertical="top" wrapText="1"/>
    </xf>
    <xf numFmtId="0" fontId="64" fillId="0" borderId="0" xfId="0" applyFont="1" applyAlignment="1">
      <alignment horizontal="left"/>
    </xf>
    <xf numFmtId="1" fontId="3" fillId="0" borderId="24" xfId="0" applyNumberFormat="1" applyFont="1" applyBorder="1" applyAlignment="1">
      <alignment horizontal="center" vertical="center"/>
    </xf>
    <xf numFmtId="0" fontId="9" fillId="0" borderId="0" xfId="0" applyFont="1" applyAlignment="1">
      <alignment vertical="center" wrapText="1"/>
    </xf>
    <xf numFmtId="0" fontId="99" fillId="0" borderId="12" xfId="0" applyFont="1" applyBorder="1" applyAlignment="1">
      <alignment horizontal="right" vertical="top"/>
    </xf>
    <xf numFmtId="2" fontId="9" fillId="0" borderId="0" xfId="0" applyNumberFormat="1" applyFont="1" applyBorder="1" applyAlignment="1">
      <alignment horizontal="right" vertical="center"/>
    </xf>
    <xf numFmtId="0" fontId="24" fillId="0" borderId="10" xfId="0" quotePrefix="1" applyFont="1" applyBorder="1" applyAlignment="1">
      <alignment horizontal="right" vertical="center"/>
    </xf>
    <xf numFmtId="0" fontId="2" fillId="0" borderId="11" xfId="0" applyFont="1" applyBorder="1" applyAlignment="1">
      <alignment horizontal="center" vertical="center"/>
    </xf>
    <xf numFmtId="1" fontId="33" fillId="0" borderId="0" xfId="0" applyNumberFormat="1" applyFont="1" applyBorder="1" applyAlignment="1" applyProtection="1">
      <alignment horizontal="center" vertical="center"/>
    </xf>
    <xf numFmtId="0" fontId="14" fillId="0" borderId="0" xfId="0" applyFont="1" applyFill="1" applyBorder="1" applyAlignment="1" applyProtection="1">
      <alignment horizontal="center" vertical="center"/>
      <protection locked="0"/>
    </xf>
    <xf numFmtId="16" fontId="33" fillId="0" borderId="15" xfId="0" quotePrefix="1" applyNumberFormat="1" applyFont="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33" fillId="0" borderId="15" xfId="0" quotePrefix="1" applyFont="1" applyBorder="1" applyAlignment="1" applyProtection="1">
      <alignment horizontal="center" vertical="center"/>
      <protection locked="0"/>
    </xf>
    <xf numFmtId="16" fontId="33" fillId="0" borderId="19" xfId="0" quotePrefix="1" applyNumberFormat="1"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1" fontId="33" fillId="0" borderId="11" xfId="0" applyNumberFormat="1" applyFont="1" applyBorder="1" applyAlignment="1" applyProtection="1">
      <alignment horizontal="center" vertical="center"/>
      <protection locked="0"/>
    </xf>
    <xf numFmtId="1" fontId="72" fillId="0" borderId="11" xfId="0" applyNumberFormat="1" applyFont="1" applyBorder="1" applyAlignment="1">
      <alignment horizontal="center" vertical="center"/>
    </xf>
    <xf numFmtId="1" fontId="72" fillId="0" borderId="20" xfId="0" applyNumberFormat="1" applyFont="1" applyBorder="1" applyAlignment="1">
      <alignment horizontal="center" vertical="center"/>
    </xf>
    <xf numFmtId="0" fontId="26" fillId="0" borderId="14" xfId="0" applyFont="1" applyBorder="1" applyAlignment="1">
      <alignment horizontal="center" vertical="center"/>
    </xf>
    <xf numFmtId="0" fontId="26" fillId="0" borderId="23" xfId="0" applyFont="1" applyBorder="1" applyAlignment="1">
      <alignment horizontal="center" vertical="center"/>
    </xf>
    <xf numFmtId="0" fontId="2" fillId="0" borderId="17" xfId="0" applyFont="1" applyBorder="1" applyAlignment="1">
      <alignment horizontal="center" vertical="center"/>
    </xf>
    <xf numFmtId="2" fontId="139" fillId="0" borderId="14" xfId="0" applyNumberFormat="1" applyFont="1" applyBorder="1" applyAlignment="1">
      <alignment horizontal="center" vertical="center"/>
    </xf>
    <xf numFmtId="1" fontId="3" fillId="0" borderId="21" xfId="0" quotePrefix="1" applyNumberFormat="1" applyFont="1" applyFill="1" applyBorder="1" applyAlignment="1">
      <alignment horizontal="center" vertical="center"/>
    </xf>
    <xf numFmtId="0" fontId="140" fillId="0" borderId="15" xfId="0" applyFont="1" applyBorder="1" applyAlignment="1">
      <alignment horizontal="center" vertical="center"/>
    </xf>
    <xf numFmtId="0" fontId="32" fillId="0" borderId="20" xfId="0" applyFont="1" applyBorder="1" applyAlignment="1">
      <alignment horizontal="center" vertical="center" wrapText="1"/>
    </xf>
    <xf numFmtId="0" fontId="33" fillId="0" borderId="19" xfId="0" applyFont="1" applyBorder="1" applyAlignment="1">
      <alignment horizontal="left" vertical="center"/>
    </xf>
    <xf numFmtId="2" fontId="33" fillId="0" borderId="11" xfId="0" applyNumberFormat="1" applyFont="1" applyBorder="1" applyAlignment="1">
      <alignment horizontal="center" vertical="center"/>
    </xf>
    <xf numFmtId="0" fontId="33" fillId="0" borderId="0" xfId="0" applyFont="1" applyBorder="1" applyAlignment="1">
      <alignment vertical="center"/>
    </xf>
    <xf numFmtId="0" fontId="2" fillId="0" borderId="0" xfId="0" applyFont="1" applyAlignment="1">
      <alignment vertical="center"/>
    </xf>
    <xf numFmtId="0" fontId="125" fillId="0" borderId="0" xfId="0" applyFont="1" applyAlignment="1">
      <alignment horizontal="left"/>
    </xf>
    <xf numFmtId="0" fontId="36" fillId="0" borderId="21" xfId="0" applyFont="1" applyBorder="1" applyAlignment="1">
      <alignment horizontal="center" vertical="center" shrinkToFit="1"/>
    </xf>
    <xf numFmtId="0" fontId="37" fillId="0" borderId="14" xfId="0" applyFont="1" applyBorder="1" applyAlignment="1">
      <alignment horizontal="center" vertical="center" shrinkToFit="1"/>
    </xf>
    <xf numFmtId="0" fontId="3" fillId="0" borderId="16" xfId="0" quotePrefix="1" applyFont="1" applyBorder="1" applyAlignment="1">
      <alignment horizontal="center" vertical="center"/>
    </xf>
    <xf numFmtId="166" fontId="3" fillId="0" borderId="0" xfId="0" applyNumberFormat="1" applyFont="1" applyBorder="1" applyAlignment="1">
      <alignment horizontal="center" vertical="center"/>
    </xf>
    <xf numFmtId="0" fontId="90" fillId="0" borderId="13" xfId="0" applyFont="1" applyBorder="1" applyAlignment="1">
      <alignment horizontal="center" vertical="center"/>
    </xf>
    <xf numFmtId="0" fontId="0" fillId="24" borderId="16" xfId="0" applyFill="1" applyBorder="1" applyAlignment="1">
      <alignment horizontal="center" vertical="center" wrapText="1"/>
    </xf>
    <xf numFmtId="164" fontId="0" fillId="0" borderId="15" xfId="0" applyNumberFormat="1" applyFill="1" applyBorder="1" applyAlignment="1">
      <alignment horizontal="center" vertical="center"/>
    </xf>
    <xf numFmtId="0" fontId="3" fillId="0" borderId="21" xfId="0" applyFont="1" applyBorder="1" applyAlignment="1" applyProtection="1">
      <alignment horizontal="center" vertical="center" wrapText="1"/>
      <protection locked="0"/>
    </xf>
    <xf numFmtId="0" fontId="7" fillId="0" borderId="0" xfId="0" applyFont="1"/>
    <xf numFmtId="1" fontId="0" fillId="0" borderId="14" xfId="0" quotePrefix="1" applyNumberFormat="1" applyBorder="1" applyAlignment="1">
      <alignment horizontal="center" vertical="center"/>
    </xf>
    <xf numFmtId="0" fontId="6" fillId="0" borderId="0" xfId="0" quotePrefix="1" applyFont="1"/>
    <xf numFmtId="164" fontId="3" fillId="0" borderId="15"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91" fillId="0" borderId="0" xfId="0" applyFont="1" applyBorder="1" applyAlignment="1">
      <alignment horizontal="left" vertical="center" wrapText="1"/>
    </xf>
    <xf numFmtId="0" fontId="91" fillId="0" borderId="14" xfId="0" applyFont="1" applyBorder="1" applyAlignment="1">
      <alignment horizontal="left" vertical="center" wrapText="1"/>
    </xf>
    <xf numFmtId="0" fontId="141" fillId="0" borderId="0" xfId="0" applyFont="1" applyAlignment="1" applyProtection="1">
      <alignment vertical="center"/>
      <protection locked="0"/>
    </xf>
    <xf numFmtId="0" fontId="69" fillId="0" borderId="10" xfId="0" applyFont="1" applyBorder="1"/>
    <xf numFmtId="0" fontId="9" fillId="0" borderId="12" xfId="0" applyFont="1" applyBorder="1" applyAlignment="1">
      <alignment vertical="center"/>
    </xf>
    <xf numFmtId="0" fontId="141" fillId="0" borderId="0" xfId="0" applyFont="1" applyAlignment="1">
      <alignment vertical="center"/>
    </xf>
    <xf numFmtId="164" fontId="0" fillId="0" borderId="14" xfId="0" applyNumberFormat="1" applyFill="1" applyBorder="1" applyAlignment="1" applyProtection="1">
      <alignment horizontal="center" vertical="center"/>
      <protection locked="0"/>
    </xf>
    <xf numFmtId="164" fontId="33" fillId="0" borderId="14" xfId="0" applyNumberFormat="1" applyFont="1" applyFill="1" applyBorder="1" applyAlignment="1">
      <alignment horizontal="center" vertical="center"/>
    </xf>
    <xf numFmtId="2" fontId="0" fillId="0" borderId="14" xfId="0" applyNumberFormat="1" applyFill="1" applyBorder="1" applyAlignment="1" applyProtection="1">
      <alignment horizontal="center" vertical="center"/>
      <protection locked="0"/>
    </xf>
    <xf numFmtId="0" fontId="0" fillId="0" borderId="22" xfId="0" applyFill="1" applyBorder="1" applyAlignment="1">
      <alignment horizontal="center" vertical="center"/>
    </xf>
    <xf numFmtId="0" fontId="24" fillId="0" borderId="15" xfId="0" applyFont="1" applyBorder="1" applyAlignment="1">
      <alignment horizontal="center" vertical="top"/>
    </xf>
    <xf numFmtId="0" fontId="0" fillId="0" borderId="14" xfId="0" quotePrefix="1" applyBorder="1" applyAlignment="1" applyProtection="1">
      <alignment horizontal="center" vertical="center"/>
      <protection locked="0"/>
    </xf>
    <xf numFmtId="0" fontId="30" fillId="0" borderId="0" xfId="0" applyFont="1" applyBorder="1" applyAlignment="1">
      <alignment horizontal="center" vertical="top"/>
    </xf>
    <xf numFmtId="0" fontId="3" fillId="0" borderId="0" xfId="0" applyFont="1" applyBorder="1" applyAlignment="1">
      <alignment horizontal="center" vertical="top"/>
    </xf>
    <xf numFmtId="0" fontId="30" fillId="0" borderId="0" xfId="0" applyFont="1" applyBorder="1" applyAlignment="1">
      <alignment horizontal="right" vertical="top"/>
    </xf>
    <xf numFmtId="0" fontId="141" fillId="0" borderId="0" xfId="0" applyFont="1"/>
    <xf numFmtId="0" fontId="38" fillId="0" borderId="13" xfId="0" applyFont="1" applyBorder="1" applyAlignment="1">
      <alignment horizontal="center" vertical="center"/>
    </xf>
    <xf numFmtId="0" fontId="26" fillId="0" borderId="0" xfId="0" applyFont="1" applyBorder="1" applyAlignment="1" applyProtection="1">
      <alignment horizontal="left" vertical="center"/>
      <protection locked="0"/>
    </xf>
    <xf numFmtId="0" fontId="87" fillId="0" borderId="12" xfId="0" applyFont="1" applyBorder="1" applyAlignment="1">
      <alignment horizontal="right"/>
    </xf>
    <xf numFmtId="0" fontId="34" fillId="0" borderId="19" xfId="0" applyFont="1" applyBorder="1" applyAlignment="1">
      <alignment horizontal="center" vertical="center" wrapText="1"/>
    </xf>
    <xf numFmtId="166" fontId="3" fillId="0" borderId="18" xfId="0" applyNumberFormat="1" applyFont="1" applyBorder="1" applyAlignment="1">
      <alignment horizontal="center" vertical="center"/>
    </xf>
    <xf numFmtId="1" fontId="3" fillId="0" borderId="21"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xf>
    <xf numFmtId="1" fontId="3" fillId="0" borderId="16" xfId="0" applyNumberFormat="1" applyFont="1" applyFill="1" applyBorder="1" applyAlignment="1">
      <alignment horizontal="center" vertical="center"/>
    </xf>
    <xf numFmtId="0" fontId="87" fillId="0" borderId="12" xfId="0" applyFont="1" applyBorder="1" applyAlignment="1"/>
    <xf numFmtId="0" fontId="42" fillId="0" borderId="19" xfId="0" quotePrefix="1" applyFont="1" applyBorder="1" applyAlignment="1">
      <alignment horizontal="center" vertical="center"/>
    </xf>
    <xf numFmtId="0" fontId="42" fillId="0" borderId="20" xfId="0" quotePrefix="1" applyFont="1" applyBorder="1" applyAlignment="1">
      <alignment horizontal="center" vertical="center"/>
    </xf>
    <xf numFmtId="0" fontId="42" fillId="0" borderId="11" xfId="0" quotePrefix="1" applyFont="1" applyBorder="1" applyAlignment="1">
      <alignment horizontal="center" vertical="center"/>
    </xf>
    <xf numFmtId="0" fontId="42" fillId="0" borderId="19" xfId="0" quotePrefix="1" applyFont="1" applyFill="1" applyBorder="1" applyAlignment="1">
      <alignment horizontal="center" vertical="center"/>
    </xf>
    <xf numFmtId="0" fontId="133" fillId="0" borderId="18" xfId="0" quotePrefix="1" applyFont="1" applyBorder="1" applyAlignment="1">
      <alignment horizontal="center" vertical="center"/>
    </xf>
    <xf numFmtId="165" fontId="3" fillId="0" borderId="18" xfId="0" applyNumberFormat="1" applyFont="1" applyBorder="1" applyAlignment="1">
      <alignment horizontal="center" vertical="center"/>
    </xf>
    <xf numFmtId="0" fontId="133" fillId="0" borderId="15" xfId="0" applyFont="1" applyBorder="1" applyAlignment="1">
      <alignment horizontal="center" vertical="center"/>
    </xf>
    <xf numFmtId="0" fontId="24" fillId="0" borderId="0" xfId="0" applyFont="1" applyAlignment="1">
      <alignment horizontal="center"/>
    </xf>
    <xf numFmtId="0" fontId="133" fillId="0" borderId="22" xfId="0" applyFont="1" applyBorder="1" applyAlignment="1">
      <alignment horizontal="center" vertical="center"/>
    </xf>
    <xf numFmtId="0" fontId="52" fillId="0" borderId="16" xfId="0" applyFont="1" applyFill="1" applyBorder="1" applyAlignment="1">
      <alignment horizontal="center" vertical="center"/>
    </xf>
    <xf numFmtId="0" fontId="0" fillId="0" borderId="15" xfId="0" applyFill="1" applyBorder="1" applyAlignment="1">
      <alignment horizontal="center" vertical="center"/>
    </xf>
    <xf numFmtId="0" fontId="28" fillId="0" borderId="12" xfId="0" applyFont="1" applyBorder="1" applyAlignment="1">
      <alignment vertical="center"/>
    </xf>
    <xf numFmtId="0" fontId="8" fillId="0" borderId="12" xfId="0" applyFont="1" applyBorder="1" applyAlignment="1">
      <alignment vertical="center"/>
    </xf>
    <xf numFmtId="0" fontId="0" fillId="0" borderId="18"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65" fontId="3" fillId="0" borderId="12" xfId="0" applyNumberFormat="1" applyFont="1" applyBorder="1" applyAlignment="1">
      <alignment horizontal="center" vertical="center"/>
    </xf>
    <xf numFmtId="0" fontId="28" fillId="0" borderId="12" xfId="0" applyFont="1" applyBorder="1" applyAlignment="1" applyProtection="1">
      <alignment vertical="center"/>
      <protection locked="0"/>
    </xf>
    <xf numFmtId="0" fontId="0" fillId="0" borderId="22" xfId="0" applyBorder="1" applyAlignment="1">
      <alignment horizontal="center" vertical="center"/>
    </xf>
    <xf numFmtId="0" fontId="3" fillId="0" borderId="15" xfId="0" applyFont="1" applyBorder="1" applyAlignment="1">
      <alignment horizontal="center" vertical="center"/>
    </xf>
    <xf numFmtId="0" fontId="2" fillId="0" borderId="14" xfId="0"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2" fontId="0" fillId="0" borderId="17" xfId="0" applyNumberFormat="1" applyBorder="1" applyAlignment="1">
      <alignment horizontal="center" vertical="center"/>
    </xf>
    <xf numFmtId="0" fontId="3" fillId="0" borderId="15" xfId="0" applyFont="1" applyBorder="1" applyAlignment="1">
      <alignment horizontal="center" vertical="center"/>
    </xf>
    <xf numFmtId="0" fontId="159" fillId="0" borderId="0" xfId="0" applyFont="1"/>
    <xf numFmtId="0" fontId="160" fillId="0" borderId="0" xfId="0" applyFont="1" applyAlignment="1">
      <alignment horizontal="right" vertical="center"/>
    </xf>
    <xf numFmtId="2" fontId="0" fillId="0" borderId="10" xfId="0" applyNumberFormat="1" applyBorder="1" applyAlignment="1">
      <alignment horizontal="center" vertical="center"/>
    </xf>
    <xf numFmtId="2" fontId="3" fillId="0" borderId="21" xfId="0" applyNumberFormat="1" applyFont="1" applyBorder="1" applyAlignment="1">
      <alignment horizontal="center" vertical="center"/>
    </xf>
    <xf numFmtId="1" fontId="3" fillId="0" borderId="21" xfId="0" applyNumberFormat="1" applyFont="1" applyBorder="1" applyAlignment="1">
      <alignment horizontal="center" vertical="center"/>
    </xf>
    <xf numFmtId="0" fontId="0" fillId="0" borderId="0" xfId="0"/>
    <xf numFmtId="0" fontId="0" fillId="0" borderId="0" xfId="0" applyBorder="1" applyAlignment="1">
      <alignment horizontal="center" vertical="center"/>
    </xf>
    <xf numFmtId="1" fontId="0" fillId="0" borderId="0" xfId="0" applyNumberFormat="1" applyFill="1" applyBorder="1" applyAlignment="1" applyProtection="1">
      <alignment horizontal="right" vertical="center"/>
      <protection locked="0"/>
    </xf>
    <xf numFmtId="1" fontId="0" fillId="0" borderId="0" xfId="0" applyNumberFormat="1" applyFill="1" applyBorder="1" applyAlignment="1" applyProtection="1">
      <alignment vertical="center"/>
      <protection locked="0"/>
    </xf>
    <xf numFmtId="1" fontId="0" fillId="0" borderId="0" xfId="0" applyNumberFormat="1" applyFill="1" applyBorder="1" applyAlignment="1">
      <alignment horizontal="right" vertical="center"/>
    </xf>
    <xf numFmtId="1" fontId="0" fillId="0" borderId="0" xfId="0" applyNumberFormat="1" applyFill="1" applyBorder="1" applyAlignment="1" applyProtection="1">
      <alignment horizontal="center" vertical="center"/>
      <protection locked="0"/>
    </xf>
    <xf numFmtId="0" fontId="0" fillId="0" borderId="0" xfId="0" applyFill="1" applyBorder="1"/>
    <xf numFmtId="164" fontId="0" fillId="0" borderId="0" xfId="0" applyNumberFormat="1" applyFill="1" applyBorder="1" applyAlignment="1" applyProtection="1">
      <alignment horizontal="center" vertical="center"/>
      <protection locked="0"/>
    </xf>
    <xf numFmtId="0" fontId="1" fillId="0" borderId="0" xfId="0" applyFont="1" applyBorder="1" applyAlignment="1">
      <alignment horizontal="center" vertical="center"/>
    </xf>
    <xf numFmtId="0" fontId="1" fillId="0" borderId="15" xfId="0" applyFont="1" applyBorder="1" applyAlignment="1">
      <alignment horizontal="center" vertical="center"/>
    </xf>
    <xf numFmtId="2" fontId="1" fillId="0" borderId="15" xfId="0" applyNumberFormat="1" applyFont="1" applyBorder="1" applyAlignment="1">
      <alignment horizontal="center" vertical="center"/>
    </xf>
    <xf numFmtId="0" fontId="1" fillId="0" borderId="21" xfId="0" applyFont="1" applyBorder="1" applyAlignment="1">
      <alignment horizontal="center" vertical="center"/>
    </xf>
    <xf numFmtId="0" fontId="1" fillId="0" borderId="15"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5" fillId="0" borderId="23" xfId="0" applyFont="1" applyBorder="1" applyAlignment="1">
      <alignment horizontal="center" vertical="top" wrapText="1"/>
    </xf>
    <xf numFmtId="0" fontId="0" fillId="0" borderId="14"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164" fontId="1" fillId="0" borderId="14" xfId="0" applyNumberFormat="1" applyFont="1" applyBorder="1" applyAlignment="1" applyProtection="1">
      <alignment horizontal="center" vertical="center"/>
      <protection locked="0"/>
    </xf>
    <xf numFmtId="0" fontId="16" fillId="0" borderId="12" xfId="0" quotePrefix="1" applyFont="1" applyFill="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xf>
    <xf numFmtId="2" fontId="3" fillId="0" borderId="14" xfId="0" applyNumberFormat="1" applyFont="1" applyBorder="1" applyAlignment="1">
      <alignment horizontal="center" vertical="center"/>
    </xf>
    <xf numFmtId="2" fontId="3" fillId="0" borderId="16" xfId="0" applyNumberFormat="1" applyFont="1" applyBorder="1" applyAlignment="1">
      <alignment horizontal="center" vertical="center"/>
    </xf>
    <xf numFmtId="1" fontId="3" fillId="0" borderId="14" xfId="0" applyNumberFormat="1" applyFont="1" applyBorder="1" applyAlignment="1">
      <alignment horizontal="center" vertical="center"/>
    </xf>
    <xf numFmtId="1" fontId="1" fillId="0" borderId="21" xfId="0" applyNumberFormat="1" applyFont="1" applyBorder="1" applyAlignment="1">
      <alignment horizontal="center" vertical="center"/>
    </xf>
    <xf numFmtId="1" fontId="3" fillId="0" borderId="14" xfId="0" applyNumberFormat="1" applyFont="1" applyBorder="1" applyAlignment="1">
      <alignment horizontal="center" vertical="center"/>
    </xf>
    <xf numFmtId="165" fontId="1" fillId="0" borderId="10" xfId="0" applyNumberFormat="1" applyFont="1" applyBorder="1" applyAlignment="1">
      <alignment horizontal="center" vertical="center"/>
    </xf>
    <xf numFmtId="0" fontId="33" fillId="0" borderId="16" xfId="0" applyFont="1" applyBorder="1" applyAlignment="1">
      <alignment horizontal="center" vertical="center"/>
    </xf>
    <xf numFmtId="0" fontId="0" fillId="0" borderId="14" xfId="0" quotePrefix="1" applyBorder="1" applyAlignment="1">
      <alignment vertical="center"/>
    </xf>
    <xf numFmtId="0" fontId="160" fillId="0" borderId="0" xfId="0" applyFont="1"/>
    <xf numFmtId="2" fontId="3" fillId="0" borderId="0" xfId="0" applyNumberFormat="1" applyFont="1" applyBorder="1" applyAlignment="1">
      <alignment horizontal="center" vertical="center"/>
    </xf>
    <xf numFmtId="2" fontId="3" fillId="0" borderId="10"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25" fillId="0" borderId="16" xfId="0" applyFont="1" applyBorder="1" applyAlignment="1">
      <alignment horizontal="center" vertical="center"/>
    </xf>
    <xf numFmtId="0" fontId="28" fillId="0" borderId="0" xfId="0" applyFont="1" applyBorder="1" applyAlignment="1" applyProtection="1">
      <alignment horizontal="right" vertical="center"/>
      <protection locked="0"/>
    </xf>
    <xf numFmtId="0" fontId="125" fillId="0" borderId="0" xfId="0" applyFont="1" applyAlignment="1">
      <alignment horizontal="left"/>
    </xf>
    <xf numFmtId="0" fontId="123" fillId="0" borderId="0" xfId="0" applyFont="1" applyAlignment="1">
      <alignment horizontal="center"/>
    </xf>
    <xf numFmtId="0" fontId="121" fillId="0" borderId="0" xfId="0" applyFont="1" applyAlignment="1">
      <alignment horizontal="center"/>
    </xf>
    <xf numFmtId="0" fontId="19" fillId="0" borderId="0" xfId="0" applyFont="1" applyAlignment="1">
      <alignment horizontal="center"/>
    </xf>
    <xf numFmtId="0" fontId="122" fillId="0" borderId="0" xfId="0" applyFont="1" applyAlignment="1">
      <alignment horizontal="center"/>
    </xf>
    <xf numFmtId="0" fontId="55" fillId="0" borderId="0" xfId="0" applyFont="1" applyAlignment="1">
      <alignment horizontal="center"/>
    </xf>
    <xf numFmtId="0" fontId="56" fillId="0" borderId="0" xfId="0" applyFont="1" applyAlignment="1">
      <alignment horizontal="center"/>
    </xf>
    <xf numFmtId="0" fontId="57" fillId="0" borderId="0" xfId="0" applyFont="1" applyAlignment="1">
      <alignment horizontal="center"/>
    </xf>
    <xf numFmtId="0" fontId="58" fillId="0" borderId="0" xfId="0" applyFont="1" applyAlignment="1">
      <alignment horizontal="center" vertical="top"/>
    </xf>
    <xf numFmtId="0" fontId="100" fillId="0" borderId="0" xfId="0" applyFont="1" applyAlignment="1">
      <alignment horizontal="justify" vertical="justify" wrapText="1"/>
    </xf>
    <xf numFmtId="0" fontId="101" fillId="0" borderId="0" xfId="0" applyFont="1" applyAlignment="1">
      <alignment horizontal="justify" vertical="justify" wrapText="1"/>
    </xf>
    <xf numFmtId="0" fontId="0" fillId="0" borderId="0" xfId="0" applyAlignment="1">
      <alignment wrapText="1"/>
    </xf>
    <xf numFmtId="0" fontId="20" fillId="0" borderId="0" xfId="0" applyFont="1" applyAlignment="1">
      <alignment horizontal="center"/>
    </xf>
    <xf numFmtId="0" fontId="125" fillId="0" borderId="0" xfId="0" applyFont="1" applyAlignment="1">
      <alignment horizontal="left"/>
    </xf>
    <xf numFmtId="0" fontId="126" fillId="0" borderId="10" xfId="0" applyFont="1" applyBorder="1" applyAlignment="1">
      <alignment horizontal="center" vertical="center"/>
    </xf>
    <xf numFmtId="0" fontId="67" fillId="0" borderId="10" xfId="0" applyFont="1" applyBorder="1" applyAlignment="1">
      <alignment horizontal="center" vertical="center"/>
    </xf>
    <xf numFmtId="0" fontId="0" fillId="0" borderId="0" xfId="0" applyAlignment="1">
      <alignment horizontal="center"/>
    </xf>
    <xf numFmtId="0" fontId="34" fillId="0" borderId="12" xfId="0" applyFont="1" applyBorder="1" applyAlignment="1">
      <alignment horizontal="center" vertical="center"/>
    </xf>
    <xf numFmtId="0" fontId="10" fillId="0" borderId="0" xfId="0" applyFont="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71" fillId="0" borderId="0" xfId="0" applyFont="1" applyAlignment="1">
      <alignment horizontal="center" vertical="center"/>
    </xf>
    <xf numFmtId="0" fontId="25" fillId="0" borderId="18" xfId="0" applyFont="1" applyBorder="1" applyAlignment="1">
      <alignment horizontal="center" vertical="center"/>
    </xf>
    <xf numFmtId="0" fontId="0" fillId="0" borderId="22" xfId="0" applyBorder="1" applyAlignment="1">
      <alignment horizontal="center" vertical="center"/>
    </xf>
    <xf numFmtId="0" fontId="52" fillId="0" borderId="20" xfId="0" applyFont="1" applyBorder="1" applyAlignment="1">
      <alignment horizontal="center" vertical="center"/>
    </xf>
    <xf numFmtId="0" fontId="52" fillId="0" borderId="11" xfId="0" applyFont="1" applyBorder="1" applyAlignment="1">
      <alignment horizontal="center" vertical="center"/>
    </xf>
    <xf numFmtId="0" fontId="52" fillId="0" borderId="13" xfId="0" applyFont="1" applyBorder="1" applyAlignment="1">
      <alignment horizontal="center" vertical="center"/>
    </xf>
    <xf numFmtId="0" fontId="25" fillId="0" borderId="24" xfId="0" applyFont="1" applyBorder="1" applyAlignment="1">
      <alignment horizontal="center" vertical="center"/>
    </xf>
    <xf numFmtId="0" fontId="25" fillId="0" borderId="23" xfId="0" applyFont="1" applyBorder="1" applyAlignment="1">
      <alignment horizontal="center" vertical="center"/>
    </xf>
    <xf numFmtId="0" fontId="25" fillId="0" borderId="21" xfId="0" applyFont="1" applyBorder="1" applyAlignment="1">
      <alignment horizontal="center" vertical="center"/>
    </xf>
    <xf numFmtId="0" fontId="25" fillId="0" borderId="14" xfId="0" applyFont="1" applyBorder="1" applyAlignment="1">
      <alignment horizontal="center" vertical="center"/>
    </xf>
    <xf numFmtId="0" fontId="52" fillId="0" borderId="24" xfId="0" applyFont="1" applyBorder="1" applyAlignment="1">
      <alignment horizontal="center" vertical="center"/>
    </xf>
    <xf numFmtId="0" fontId="52" fillId="0" borderId="12" xfId="0" applyFont="1" applyBorder="1" applyAlignment="1">
      <alignment horizontal="center" vertical="center"/>
    </xf>
    <xf numFmtId="0" fontId="25" fillId="0" borderId="18" xfId="0" applyFont="1" applyBorder="1" applyAlignment="1">
      <alignment horizontal="center" vertical="center" wrapText="1"/>
    </xf>
    <xf numFmtId="0" fontId="0" fillId="0" borderId="22" xfId="0" applyBorder="1" applyAlignment="1">
      <alignment horizontal="center" vertical="center" wrapText="1"/>
    </xf>
    <xf numFmtId="0" fontId="25" fillId="0" borderId="22" xfId="0" applyFont="1" applyBorder="1" applyAlignment="1">
      <alignment horizontal="center" vertical="center"/>
    </xf>
    <xf numFmtId="0" fontId="25" fillId="0" borderId="22" xfId="0" applyFont="1" applyBorder="1" applyAlignment="1">
      <alignment horizontal="center" vertical="center" wrapText="1"/>
    </xf>
    <xf numFmtId="0" fontId="17" fillId="0" borderId="21" xfId="0" applyFont="1" applyBorder="1" applyAlignment="1">
      <alignment horizontal="center" vertical="center"/>
    </xf>
    <xf numFmtId="0" fontId="17" fillId="0" borderId="14" xfId="0" applyFont="1" applyBorder="1" applyAlignment="1">
      <alignment horizontal="center" vertical="center"/>
    </xf>
    <xf numFmtId="0" fontId="33" fillId="0" borderId="20" xfId="0" applyFont="1" applyBorder="1" applyAlignment="1">
      <alignment horizontal="center" vertical="center"/>
    </xf>
    <xf numFmtId="0" fontId="33" fillId="0" borderId="13" xfId="0" applyFont="1" applyBorder="1" applyAlignment="1">
      <alignment horizontal="center" vertical="center"/>
    </xf>
    <xf numFmtId="0" fontId="22" fillId="0" borderId="20" xfId="0" quotePrefix="1" applyFont="1" applyBorder="1" applyAlignment="1">
      <alignment horizontal="center" vertical="center"/>
    </xf>
    <xf numFmtId="0" fontId="22" fillId="0" borderId="13" xfId="0" quotePrefix="1" applyFont="1" applyBorder="1" applyAlignment="1">
      <alignment horizontal="center" vertical="center"/>
    </xf>
    <xf numFmtId="0" fontId="17" fillId="0" borderId="21" xfId="0" applyFont="1" applyFill="1" applyBorder="1" applyAlignment="1">
      <alignment horizontal="center" vertical="center"/>
    </xf>
    <xf numFmtId="0" fontId="17" fillId="0" borderId="14" xfId="0" applyFont="1" applyFill="1" applyBorder="1" applyAlignment="1">
      <alignment horizontal="center" vertical="center"/>
    </xf>
    <xf numFmtId="0" fontId="71" fillId="0" borderId="0" xfId="0" applyFont="1" applyAlignment="1">
      <alignment horizontal="center" vertical="center" wrapText="1"/>
    </xf>
    <xf numFmtId="0" fontId="25" fillId="0" borderId="15" xfId="0" applyFont="1" applyBorder="1" applyAlignment="1">
      <alignment horizontal="center" vertical="center"/>
    </xf>
    <xf numFmtId="0" fontId="22" fillId="0" borderId="15"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0" fillId="0" borderId="11" xfId="0" applyFont="1" applyBorder="1" applyAlignment="1">
      <alignment horizontal="center" vertical="center" wrapText="1"/>
    </xf>
    <xf numFmtId="0" fontId="30" fillId="0" borderId="11" xfId="0" applyFont="1" applyBorder="1" applyAlignment="1">
      <alignment horizontal="center" vertical="center"/>
    </xf>
    <xf numFmtId="0" fontId="30" fillId="0" borderId="20" xfId="0" applyFont="1" applyBorder="1" applyAlignment="1">
      <alignment horizontal="center" vertical="center" wrapText="1"/>
    </xf>
    <xf numFmtId="0" fontId="30" fillId="0" borderId="13" xfId="0" applyFont="1" applyBorder="1" applyAlignment="1">
      <alignment horizontal="center" vertical="center"/>
    </xf>
    <xf numFmtId="0" fontId="3" fillId="0" borderId="21" xfId="0" quotePrefix="1" applyFont="1" applyBorder="1" applyAlignment="1">
      <alignment horizontal="center" vertical="center"/>
    </xf>
    <xf numFmtId="0" fontId="22" fillId="0" borderId="15" xfId="0" applyFont="1" applyBorder="1" applyAlignment="1">
      <alignment horizontal="center" vertical="center" wrapText="1"/>
    </xf>
    <xf numFmtId="0" fontId="14" fillId="0" borderId="21" xfId="0" applyFont="1" applyBorder="1" applyAlignment="1">
      <alignment horizontal="center" vertical="center"/>
    </xf>
    <xf numFmtId="0" fontId="3" fillId="0" borderId="21" xfId="0" applyFont="1" applyBorder="1" applyAlignment="1">
      <alignment horizontal="center" vertical="center"/>
    </xf>
    <xf numFmtId="0" fontId="5" fillId="0" borderId="10" xfId="0" applyFont="1" applyBorder="1" applyAlignment="1" applyProtection="1">
      <alignment horizontal="center" vertical="center"/>
    </xf>
    <xf numFmtId="0" fontId="30" fillId="0" borderId="18" xfId="0" applyFont="1" applyBorder="1" applyAlignment="1">
      <alignment horizontal="center" vertical="center" wrapText="1"/>
    </xf>
    <xf numFmtId="0" fontId="30" fillId="0" borderId="22" xfId="0" applyFont="1" applyBorder="1" applyAlignment="1">
      <alignment horizontal="center" vertical="center"/>
    </xf>
    <xf numFmtId="0" fontId="80" fillId="0" borderId="23" xfId="0" applyFont="1" applyBorder="1" applyAlignment="1">
      <alignment horizontal="center" vertical="center" wrapText="1"/>
    </xf>
    <xf numFmtId="0" fontId="80" fillId="0" borderId="16" xfId="0" applyFont="1" applyBorder="1" applyAlignment="1">
      <alignment horizontal="center" vertical="center"/>
    </xf>
    <xf numFmtId="0" fontId="30" fillId="0" borderId="24" xfId="0" applyFont="1" applyBorder="1" applyAlignment="1">
      <alignment horizontal="center" vertical="center"/>
    </xf>
    <xf numFmtId="0" fontId="30" fillId="0" borderId="17" xfId="0" applyFont="1" applyBorder="1" applyAlignment="1">
      <alignment horizontal="center" vertical="center"/>
    </xf>
    <xf numFmtId="0" fontId="30" fillId="0" borderId="23"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8" xfId="0" applyFont="1" applyBorder="1" applyAlignment="1">
      <alignment horizontal="center" vertical="center"/>
    </xf>
    <xf numFmtId="0" fontId="30" fillId="0" borderId="15" xfId="0" applyFont="1" applyBorder="1" applyAlignment="1">
      <alignment horizontal="center" vertical="center"/>
    </xf>
    <xf numFmtId="0" fontId="30" fillId="0" borderId="14" xfId="0" applyFont="1" applyBorder="1" applyAlignment="1">
      <alignment horizontal="center" vertical="center" wrapText="1"/>
    </xf>
    <xf numFmtId="0" fontId="98" fillId="0" borderId="12" xfId="0" applyFont="1" applyFill="1" applyBorder="1" applyAlignment="1">
      <alignment horizontal="left" vertical="top" wrapText="1"/>
    </xf>
    <xf numFmtId="0" fontId="98" fillId="0" borderId="0" xfId="0" applyFont="1" applyFill="1" applyBorder="1" applyAlignment="1">
      <alignment horizontal="left" vertical="top" wrapText="1"/>
    </xf>
    <xf numFmtId="0" fontId="28" fillId="0" borderId="0" xfId="0" applyFont="1" applyAlignment="1">
      <alignment horizontal="left" vertical="top" wrapText="1"/>
    </xf>
    <xf numFmtId="0" fontId="30" fillId="0" borderId="0" xfId="0" applyFont="1" applyBorder="1" applyAlignment="1">
      <alignment horizontal="center" vertical="center"/>
    </xf>
    <xf numFmtId="0" fontId="30" fillId="0" borderId="10" xfId="0" applyFont="1" applyBorder="1" applyAlignment="1">
      <alignment horizontal="center" vertical="center"/>
    </xf>
    <xf numFmtId="0" fontId="30" fillId="0" borderId="0" xfId="0" applyFont="1" applyBorder="1" applyAlignment="1">
      <alignment horizontal="center" vertical="center" wrapText="1"/>
    </xf>
    <xf numFmtId="0" fontId="30" fillId="0" borderId="20" xfId="0" applyFont="1" applyBorder="1" applyAlignment="1">
      <alignment horizontal="center" vertical="center"/>
    </xf>
    <xf numFmtId="0" fontId="94" fillId="0" borderId="18" xfId="0" applyFont="1" applyBorder="1" applyAlignment="1">
      <alignment horizontal="center" vertical="center" wrapText="1"/>
    </xf>
    <xf numFmtId="0" fontId="94" fillId="0" borderId="22" xfId="0" applyFont="1" applyBorder="1" applyAlignment="1">
      <alignment horizontal="center" vertical="center" wrapText="1"/>
    </xf>
    <xf numFmtId="0" fontId="33" fillId="0" borderId="15" xfId="0" applyFont="1" applyBorder="1" applyAlignment="1">
      <alignment vertical="center" wrapText="1"/>
    </xf>
    <xf numFmtId="0" fontId="3" fillId="0" borderId="15" xfId="0" applyFont="1" applyBorder="1" applyAlignment="1">
      <alignment vertical="center" wrapText="1"/>
    </xf>
    <xf numFmtId="0" fontId="30" fillId="0" borderId="18"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22" xfId="0" applyFont="1" applyFill="1" applyBorder="1" applyAlignment="1">
      <alignment horizontal="center" vertical="center"/>
    </xf>
    <xf numFmtId="0" fontId="71" fillId="0" borderId="0" xfId="0" applyFont="1" applyBorder="1" applyAlignment="1">
      <alignment horizontal="center" wrapText="1"/>
    </xf>
    <xf numFmtId="0" fontId="71" fillId="0" borderId="0" xfId="0" applyFont="1" applyBorder="1" applyAlignment="1">
      <alignment horizontal="center" vertical="center"/>
    </xf>
    <xf numFmtId="0" fontId="14" fillId="0" borderId="15" xfId="0" applyFont="1" applyBorder="1" applyAlignment="1">
      <alignment horizontal="center" vertical="center"/>
    </xf>
    <xf numFmtId="0" fontId="14" fillId="0" borderId="22" xfId="0" applyFont="1" applyBorder="1" applyAlignment="1">
      <alignment horizontal="center" vertical="center"/>
    </xf>
    <xf numFmtId="0" fontId="15" fillId="0" borderId="0" xfId="0" applyFont="1" applyBorder="1" applyAlignment="1">
      <alignment horizontal="center" vertical="center" wrapText="1"/>
    </xf>
    <xf numFmtId="0" fontId="14" fillId="0" borderId="18" xfId="0" applyFont="1" applyBorder="1" applyAlignment="1">
      <alignment horizontal="center" vertical="center"/>
    </xf>
    <xf numFmtId="0" fontId="52" fillId="0" borderId="11" xfId="0" applyFont="1" applyBorder="1" applyAlignment="1">
      <alignment vertical="center"/>
    </xf>
    <xf numFmtId="0" fontId="28" fillId="0" borderId="12" xfId="0" applyFont="1" applyBorder="1" applyAlignment="1">
      <alignment horizontal="right" vertical="top"/>
    </xf>
    <xf numFmtId="0" fontId="15" fillId="0" borderId="0" xfId="0" applyFont="1" applyAlignment="1">
      <alignment horizontal="center" vertical="center"/>
    </xf>
    <xf numFmtId="2" fontId="33" fillId="0" borderId="20" xfId="0" applyNumberFormat="1" applyFont="1" applyBorder="1" applyAlignment="1">
      <alignment horizontal="center" vertical="center"/>
    </xf>
    <xf numFmtId="2" fontId="33" fillId="0" borderId="13" xfId="0" applyNumberFormat="1" applyFont="1" applyBorder="1" applyAlignment="1">
      <alignment horizontal="center" vertical="center"/>
    </xf>
    <xf numFmtId="0" fontId="16" fillId="0" borderId="20" xfId="0" quotePrefix="1" applyFont="1" applyBorder="1" applyAlignment="1">
      <alignment horizontal="center" vertical="center" wrapText="1"/>
    </xf>
    <xf numFmtId="0" fontId="16" fillId="0" borderId="13" xfId="0" quotePrefix="1" applyFont="1" applyBorder="1" applyAlignment="1">
      <alignment horizontal="center" vertical="center" wrapText="1"/>
    </xf>
    <xf numFmtId="2" fontId="3" fillId="0" borderId="21" xfId="0" applyNumberFormat="1" applyFont="1" applyBorder="1" applyAlignment="1" applyProtection="1">
      <alignment horizontal="center" vertical="center"/>
      <protection locked="0"/>
    </xf>
    <xf numFmtId="2" fontId="3" fillId="0" borderId="14" xfId="0" applyNumberFormat="1"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2" fontId="3" fillId="0" borderId="21" xfId="0" applyNumberFormat="1" applyFont="1" applyBorder="1" applyAlignment="1">
      <alignment horizontal="center" vertical="center"/>
    </xf>
    <xf numFmtId="2" fontId="3" fillId="0" borderId="14" xfId="0" applyNumberFormat="1" applyFont="1" applyBorder="1" applyAlignment="1">
      <alignment horizontal="center" vertical="center"/>
    </xf>
    <xf numFmtId="0" fontId="14" fillId="0" borderId="14" xfId="0" applyFont="1" applyBorder="1" applyAlignment="1">
      <alignment horizontal="center" vertical="center"/>
    </xf>
    <xf numFmtId="1" fontId="33" fillId="0" borderId="21" xfId="0" applyNumberFormat="1" applyFont="1" applyBorder="1" applyAlignment="1" applyProtection="1">
      <alignment horizontal="center" vertical="center"/>
      <protection locked="0"/>
    </xf>
    <xf numFmtId="1" fontId="33" fillId="0" borderId="14" xfId="0" applyNumberFormat="1" applyFont="1" applyBorder="1" applyAlignment="1" applyProtection="1">
      <alignment horizontal="center" vertical="center"/>
      <protection locked="0"/>
    </xf>
    <xf numFmtId="2" fontId="33" fillId="0" borderId="21" xfId="0" applyNumberFormat="1" applyFont="1" applyBorder="1" applyAlignment="1" applyProtection="1">
      <alignment horizontal="center" vertical="center"/>
      <protection locked="0"/>
    </xf>
    <xf numFmtId="2" fontId="33" fillId="0" borderId="14" xfId="0" applyNumberFormat="1" applyFont="1" applyBorder="1" applyAlignment="1" applyProtection="1">
      <alignment horizontal="center" vertical="center"/>
      <protection locked="0"/>
    </xf>
    <xf numFmtId="0" fontId="33" fillId="0" borderId="21" xfId="0" applyFont="1" applyBorder="1" applyAlignment="1">
      <alignment horizontal="center" vertical="center"/>
    </xf>
    <xf numFmtId="0" fontId="33" fillId="0" borderId="14" xfId="0" applyFont="1" applyBorder="1" applyAlignment="1">
      <alignment horizontal="center" vertical="center"/>
    </xf>
    <xf numFmtId="0" fontId="25" fillId="0" borderId="24" xfId="0" applyFont="1" applyBorder="1" applyAlignment="1">
      <alignment horizontal="center" vertical="center" wrapText="1"/>
    </xf>
    <xf numFmtId="0" fontId="25" fillId="0" borderId="23" xfId="0" applyFont="1" applyBorder="1" applyAlignment="1">
      <alignment horizontal="center" vertical="center" wrapText="1"/>
    </xf>
    <xf numFmtId="2" fontId="25" fillId="0" borderId="24" xfId="0" applyNumberFormat="1" applyFont="1" applyBorder="1" applyAlignment="1">
      <alignment horizontal="center" vertical="center" wrapText="1"/>
    </xf>
    <xf numFmtId="2" fontId="25" fillId="0" borderId="23" xfId="0" applyNumberFormat="1" applyFont="1" applyBorder="1" applyAlignment="1">
      <alignment horizontal="center" vertical="center" wrapText="1"/>
    </xf>
    <xf numFmtId="2" fontId="16" fillId="0" borderId="20" xfId="0" quotePrefix="1" applyNumberFormat="1" applyFont="1" applyBorder="1" applyAlignment="1">
      <alignment horizontal="center" vertical="center"/>
    </xf>
    <xf numFmtId="2" fontId="16" fillId="0" borderId="13" xfId="0" quotePrefix="1" applyNumberFormat="1" applyFont="1" applyBorder="1" applyAlignment="1">
      <alignment horizontal="center" vertical="center"/>
    </xf>
    <xf numFmtId="0" fontId="16" fillId="0" borderId="20" xfId="0" quotePrefix="1" applyFont="1" applyBorder="1" applyAlignment="1">
      <alignment horizontal="center" vertical="center"/>
    </xf>
    <xf numFmtId="0" fontId="16" fillId="0" borderId="13" xfId="0" quotePrefix="1" applyFont="1" applyBorder="1" applyAlignment="1">
      <alignment horizontal="center" vertical="center"/>
    </xf>
    <xf numFmtId="0" fontId="99" fillId="0" borderId="0" xfId="0" applyFont="1" applyAlignment="1">
      <alignment wrapText="1"/>
    </xf>
    <xf numFmtId="0" fontId="28" fillId="0" borderId="12" xfId="0" applyFont="1" applyBorder="1" applyAlignment="1">
      <alignment horizontal="left" vertical="center" wrapText="1"/>
    </xf>
    <xf numFmtId="1" fontId="33" fillId="0" borderId="20" xfId="0" applyNumberFormat="1" applyFont="1" applyBorder="1" applyAlignment="1">
      <alignment horizontal="center" vertical="center"/>
    </xf>
    <xf numFmtId="1" fontId="33" fillId="0" borderId="13" xfId="0" applyNumberFormat="1" applyFont="1" applyBorder="1" applyAlignment="1">
      <alignment horizontal="center" vertical="center"/>
    </xf>
    <xf numFmtId="0" fontId="33" fillId="0" borderId="20" xfId="0" applyFont="1" applyBorder="1" applyAlignment="1">
      <alignment horizontal="left" vertical="center"/>
    </xf>
    <xf numFmtId="0" fontId="33" fillId="0" borderId="13" xfId="0" applyFont="1" applyBorder="1" applyAlignment="1">
      <alignment horizontal="left" vertical="center"/>
    </xf>
    <xf numFmtId="0" fontId="15" fillId="0" borderId="0" xfId="0" applyFont="1" applyBorder="1" applyAlignment="1">
      <alignment horizontal="center"/>
    </xf>
    <xf numFmtId="0" fontId="71" fillId="0" borderId="0" xfId="0" applyFont="1" applyAlignment="1">
      <alignment horizontal="center"/>
    </xf>
    <xf numFmtId="0" fontId="38" fillId="0" borderId="20" xfId="0" applyFont="1" applyBorder="1" applyAlignment="1">
      <alignment horizontal="center" vertical="center"/>
    </xf>
    <xf numFmtId="0" fontId="38" fillId="0" borderId="13" xfId="0" applyFont="1" applyBorder="1" applyAlignment="1">
      <alignment horizontal="center" vertical="center"/>
    </xf>
    <xf numFmtId="0" fontId="38" fillId="0" borderId="11" xfId="0" applyFont="1" applyBorder="1" applyAlignment="1">
      <alignment horizontal="center" vertical="center"/>
    </xf>
    <xf numFmtId="0" fontId="25" fillId="0" borderId="15"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1" xfId="0" applyFont="1" applyBorder="1" applyAlignment="1">
      <alignment horizontal="center" vertical="center" shrinkToFit="1"/>
    </xf>
    <xf numFmtId="0" fontId="52" fillId="0" borderId="13" xfId="0" applyFont="1" applyBorder="1" applyAlignment="1">
      <alignment horizontal="center" vertical="center" shrinkToFit="1"/>
    </xf>
    <xf numFmtId="0" fontId="52" fillId="0" borderId="20" xfId="0" applyFont="1" applyBorder="1" applyAlignment="1">
      <alignment horizontal="center" vertical="center" shrinkToFit="1"/>
    </xf>
    <xf numFmtId="0" fontId="25" fillId="0" borderId="23"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24"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13"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13"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13"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10" xfId="0" applyFont="1" applyBorder="1" applyAlignment="1">
      <alignment horizontal="center" vertical="center" shrinkToFit="1"/>
    </xf>
    <xf numFmtId="0" fontId="28" fillId="0" borderId="12" xfId="0" applyFont="1" applyBorder="1" applyAlignment="1">
      <alignment horizontal="right" vertical="center"/>
    </xf>
    <xf numFmtId="0" fontId="47" fillId="0" borderId="21" xfId="0" applyFont="1" applyBorder="1" applyAlignment="1">
      <alignment horizontal="right" vertical="center"/>
    </xf>
    <xf numFmtId="0" fontId="47" fillId="0" borderId="0" xfId="0" applyFont="1" applyBorder="1" applyAlignment="1">
      <alignment horizontal="right" vertical="center"/>
    </xf>
    <xf numFmtId="0" fontId="47" fillId="0" borderId="21" xfId="0" applyFont="1" applyBorder="1" applyAlignment="1">
      <alignment horizontal="center" vertical="center"/>
    </xf>
    <xf numFmtId="0" fontId="47" fillId="0" borderId="0" xfId="0" applyFont="1" applyBorder="1" applyAlignment="1">
      <alignment horizontal="center" vertical="center"/>
    </xf>
    <xf numFmtId="0" fontId="47" fillId="0" borderId="14" xfId="0" applyFont="1" applyBorder="1" applyAlignment="1">
      <alignment horizontal="center" vertical="center"/>
    </xf>
    <xf numFmtId="0" fontId="47" fillId="0" borderId="17" xfId="0" applyFont="1" applyBorder="1" applyAlignment="1">
      <alignment horizontal="center" vertical="center"/>
    </xf>
    <xf numFmtId="0" fontId="47" fillId="0" borderId="10" xfId="0" applyFont="1" applyBorder="1" applyAlignment="1">
      <alignment horizontal="center" vertical="center"/>
    </xf>
    <xf numFmtId="0" fontId="16" fillId="0" borderId="11" xfId="0" quotePrefix="1" applyFont="1" applyBorder="1" applyAlignment="1">
      <alignment horizontal="center" vertical="center"/>
    </xf>
    <xf numFmtId="0" fontId="25" fillId="0" borderId="12"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6"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0" xfId="0" applyFont="1" applyBorder="1" applyAlignment="1">
      <alignment horizontal="center" vertical="center" wrapText="1"/>
    </xf>
    <xf numFmtId="0" fontId="23" fillId="0" borderId="0" xfId="0" applyFont="1" applyBorder="1" applyAlignment="1">
      <alignment horizontal="center" vertical="center" wrapText="1"/>
    </xf>
    <xf numFmtId="0" fontId="71" fillId="0" borderId="0" xfId="0" applyFont="1" applyBorder="1" applyAlignment="1">
      <alignment horizontal="center" vertical="center" wrapText="1"/>
    </xf>
    <xf numFmtId="0" fontId="34" fillId="0" borderId="24" xfId="0" applyFont="1" applyBorder="1" applyAlignment="1">
      <alignment horizontal="center" vertical="center" wrapText="1"/>
    </xf>
    <xf numFmtId="0" fontId="16" fillId="0" borderId="20"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25" fillId="0" borderId="20" xfId="0" applyFont="1" applyBorder="1" applyAlignment="1">
      <alignment horizontal="center" vertical="center" wrapText="1"/>
    </xf>
    <xf numFmtId="0" fontId="25" fillId="0" borderId="13" xfId="0" applyFont="1" applyBorder="1" applyAlignment="1">
      <alignment horizontal="center" vertical="center" wrapText="1"/>
    </xf>
    <xf numFmtId="0" fontId="34" fillId="0" borderId="11" xfId="0" applyFont="1" applyBorder="1" applyAlignment="1">
      <alignment horizontal="center" vertical="center"/>
    </xf>
    <xf numFmtId="0" fontId="34" fillId="0" borderId="20" xfId="0" applyFont="1" applyBorder="1" applyAlignment="1">
      <alignment horizontal="center" vertical="center"/>
    </xf>
    <xf numFmtId="0" fontId="34"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71" fillId="0" borderId="0" xfId="0" applyFont="1" applyBorder="1" applyAlignment="1">
      <alignment horizontal="center"/>
    </xf>
    <xf numFmtId="3" fontId="34" fillId="0" borderId="24" xfId="0" applyNumberFormat="1" applyFont="1" applyBorder="1" applyAlignment="1">
      <alignment horizontal="center" vertical="center"/>
    </xf>
    <xf numFmtId="3" fontId="34" fillId="0" borderId="12" xfId="0" applyNumberFormat="1" applyFont="1" applyBorder="1" applyAlignment="1">
      <alignment horizontal="center" vertical="center"/>
    </xf>
    <xf numFmtId="3" fontId="34" fillId="0" borderId="23" xfId="0" applyNumberFormat="1" applyFont="1" applyBorder="1" applyAlignment="1">
      <alignment horizontal="center" vertical="center"/>
    </xf>
    <xf numFmtId="0" fontId="9" fillId="0" borderId="10" xfId="0" applyFont="1" applyBorder="1" applyAlignment="1">
      <alignment horizontal="right"/>
    </xf>
    <xf numFmtId="0" fontId="15" fillId="0" borderId="0" xfId="0" applyFont="1" applyBorder="1" applyAlignment="1" applyProtection="1">
      <alignment horizontal="center"/>
      <protection locked="0"/>
    </xf>
    <xf numFmtId="0" fontId="25" fillId="0" borderId="18"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22" xfId="0" applyFont="1" applyBorder="1" applyAlignment="1" applyProtection="1">
      <alignment horizontal="center" vertical="center" wrapText="1"/>
      <protection locked="0"/>
    </xf>
    <xf numFmtId="0" fontId="25" fillId="0" borderId="23"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0" fontId="71" fillId="0" borderId="0" xfId="0" applyFont="1" applyBorder="1" applyAlignment="1" applyProtection="1">
      <alignment horizontal="center" wrapText="1"/>
      <protection locked="0"/>
    </xf>
    <xf numFmtId="0" fontId="33" fillId="0" borderId="20"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52" fillId="0" borderId="20" xfId="0" applyFont="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25" fillId="0" borderId="24" xfId="0"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36" fillId="0" borderId="18" xfId="0" applyFont="1" applyBorder="1" applyAlignment="1" applyProtection="1">
      <alignment horizontal="center" vertical="center" wrapText="1"/>
      <protection locked="0"/>
    </xf>
    <xf numFmtId="0" fontId="36" fillId="0" borderId="22" xfId="0" applyFont="1" applyBorder="1" applyAlignment="1">
      <alignment vertical="center" wrapText="1"/>
    </xf>
    <xf numFmtId="0" fontId="0" fillId="0" borderId="22" xfId="0" applyBorder="1" applyAlignment="1">
      <alignment vertical="center"/>
    </xf>
    <xf numFmtId="0" fontId="34" fillId="0" borderId="20" xfId="0" applyFont="1" applyBorder="1" applyAlignment="1" applyProtection="1">
      <alignment horizontal="center" vertical="center"/>
      <protection locked="0"/>
    </xf>
    <xf numFmtId="0" fontId="34" fillId="0" borderId="11"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8" fillId="0" borderId="0" xfId="0" applyFont="1" applyAlignment="1" applyProtection="1">
      <alignment horizontal="left" vertical="top" wrapText="1"/>
      <protection locked="0"/>
    </xf>
    <xf numFmtId="0" fontId="47" fillId="0" borderId="17" xfId="0" applyFont="1" applyBorder="1" applyAlignment="1" applyProtection="1">
      <alignment horizontal="center" vertical="center"/>
      <protection locked="0"/>
    </xf>
    <xf numFmtId="0" fontId="47" fillId="0" borderId="10" xfId="0" applyFont="1" applyBorder="1" applyAlignment="1" applyProtection="1">
      <alignment horizontal="center" vertical="center"/>
      <protection locked="0"/>
    </xf>
    <xf numFmtId="0" fontId="47" fillId="0" borderId="16"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71" fillId="0" borderId="0"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8" fillId="0" borderId="0" xfId="0" applyFont="1" applyAlignment="1">
      <alignment wrapText="1"/>
    </xf>
    <xf numFmtId="0" fontId="34" fillId="0" borderId="11" xfId="0" applyFont="1" applyBorder="1" applyAlignment="1">
      <alignment horizontal="center" vertical="center" wrapText="1"/>
    </xf>
    <xf numFmtId="0" fontId="34" fillId="0" borderId="13" xfId="0" applyFont="1" applyBorder="1" applyAlignment="1">
      <alignment horizontal="center" vertical="center" wrapText="1"/>
    </xf>
    <xf numFmtId="0" fontId="53" fillId="0" borderId="20" xfId="0" applyFont="1" applyBorder="1" applyAlignment="1">
      <alignment horizontal="center" vertical="center"/>
    </xf>
    <xf numFmtId="0" fontId="53" fillId="0" borderId="11" xfId="0" applyFont="1" applyBorder="1" applyAlignment="1">
      <alignment horizontal="center" vertical="center"/>
    </xf>
    <xf numFmtId="0" fontId="53" fillId="0" borderId="13" xfId="0" applyFont="1" applyBorder="1" applyAlignment="1">
      <alignment horizontal="center" vertical="center"/>
    </xf>
    <xf numFmtId="0" fontId="71" fillId="0" borderId="0" xfId="0" applyFont="1" applyBorder="1" applyAlignment="1">
      <alignment horizontal="center" vertical="top" wrapText="1"/>
    </xf>
    <xf numFmtId="0" fontId="33" fillId="0" borderId="12" xfId="0" applyFont="1" applyBorder="1" applyAlignment="1">
      <alignment horizontal="left"/>
    </xf>
    <xf numFmtId="0" fontId="33" fillId="0" borderId="23" xfId="0" applyFont="1" applyBorder="1" applyAlignment="1">
      <alignment horizontal="left"/>
    </xf>
    <xf numFmtId="0" fontId="45" fillId="0" borderId="10" xfId="0" applyFont="1" applyBorder="1" applyAlignment="1">
      <alignment horizontal="left"/>
    </xf>
    <xf numFmtId="0" fontId="45" fillId="0" borderId="16" xfId="0" applyFont="1" applyBorder="1" applyAlignment="1">
      <alignment horizontal="left"/>
    </xf>
    <xf numFmtId="0" fontId="22" fillId="0" borderId="20" xfId="0" quotePrefix="1" applyFont="1" applyBorder="1" applyAlignment="1">
      <alignment horizontal="center"/>
    </xf>
    <xf numFmtId="0" fontId="22" fillId="0" borderId="11" xfId="0" quotePrefix="1" applyFont="1" applyBorder="1" applyAlignment="1">
      <alignment horizontal="center"/>
    </xf>
    <xf numFmtId="0" fontId="22" fillId="0" borderId="13" xfId="0" quotePrefix="1" applyFont="1" applyBorder="1" applyAlignment="1">
      <alignment horizontal="center"/>
    </xf>
    <xf numFmtId="0" fontId="25" fillId="0" borderId="12" xfId="0" applyFont="1" applyBorder="1" applyAlignment="1">
      <alignment horizontal="center" vertical="center"/>
    </xf>
    <xf numFmtId="0" fontId="25" fillId="0" borderId="17" xfId="0" applyFont="1" applyBorder="1" applyAlignment="1">
      <alignment horizontal="center" vertical="center"/>
    </xf>
    <xf numFmtId="0" fontId="25" fillId="0" borderId="10" xfId="0" applyFont="1" applyBorder="1" applyAlignment="1">
      <alignment horizontal="center" vertical="center"/>
    </xf>
    <xf numFmtId="0" fontId="25" fillId="0" borderId="16" xfId="0" applyFont="1" applyBorder="1" applyAlignment="1">
      <alignment horizontal="center" vertical="center"/>
    </xf>
    <xf numFmtId="0" fontId="34" fillId="0" borderId="20" xfId="0" applyFont="1" applyBorder="1" applyAlignment="1">
      <alignment horizontal="center"/>
    </xf>
    <xf numFmtId="0" fontId="34" fillId="0" borderId="11" xfId="0" applyFont="1" applyBorder="1" applyAlignment="1">
      <alignment horizontal="center"/>
    </xf>
    <xf numFmtId="0" fontId="34" fillId="0" borderId="13" xfId="0" applyFont="1" applyBorder="1" applyAlignment="1">
      <alignment horizontal="center"/>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0" xfId="0" applyFont="1" applyBorder="1" applyAlignment="1">
      <alignment horizontal="justify" vertical="top" wrapText="1"/>
    </xf>
    <xf numFmtId="0" fontId="45" fillId="0" borderId="14" xfId="0" applyFont="1" applyBorder="1" applyAlignment="1">
      <alignment horizontal="justify" vertical="top" wrapText="1"/>
    </xf>
    <xf numFmtId="0" fontId="22" fillId="0" borderId="0" xfId="0" applyFont="1" applyBorder="1" applyAlignment="1">
      <alignment horizontal="left" vertical="top" wrapText="1"/>
    </xf>
    <xf numFmtId="0" fontId="22" fillId="0" borderId="14" xfId="0" applyFont="1" applyBorder="1" applyAlignment="1">
      <alignment horizontal="left" vertical="top" wrapText="1"/>
    </xf>
    <xf numFmtId="0" fontId="33" fillId="0" borderId="11" xfId="0" applyFont="1" applyBorder="1" applyAlignment="1">
      <alignment horizontal="center" vertical="center"/>
    </xf>
    <xf numFmtId="0" fontId="45" fillId="0" borderId="10" xfId="0" applyFont="1" applyBorder="1" applyAlignment="1">
      <alignment horizontal="left" vertical="center"/>
    </xf>
    <xf numFmtId="0" fontId="45" fillId="0" borderId="16" xfId="0" applyFont="1" applyBorder="1" applyAlignment="1">
      <alignment horizontal="left" vertical="center"/>
    </xf>
    <xf numFmtId="0" fontId="45" fillId="0" borderId="0" xfId="0" applyFont="1" applyBorder="1" applyAlignment="1">
      <alignment horizontal="left" vertical="center"/>
    </xf>
    <xf numFmtId="0" fontId="45" fillId="0" borderId="14" xfId="0" applyFont="1" applyBorder="1" applyAlignment="1">
      <alignment horizontal="left" vertical="center"/>
    </xf>
    <xf numFmtId="0" fontId="45" fillId="0" borderId="0" xfId="0" applyFont="1" applyBorder="1" applyAlignment="1">
      <alignment horizontal="left" vertical="center" wrapText="1"/>
    </xf>
    <xf numFmtId="0" fontId="45" fillId="0" borderId="14" xfId="0" applyFont="1" applyBorder="1" applyAlignment="1">
      <alignment horizontal="left" vertical="center" wrapText="1"/>
    </xf>
    <xf numFmtId="0" fontId="33" fillId="0" borderId="0" xfId="0" applyFont="1" applyBorder="1" applyAlignment="1">
      <alignment horizontal="left" vertical="center"/>
    </xf>
    <xf numFmtId="0" fontId="33" fillId="0" borderId="14" xfId="0" applyFont="1" applyBorder="1" applyAlignment="1">
      <alignment horizontal="left" vertical="center"/>
    </xf>
    <xf numFmtId="0" fontId="15" fillId="0" borderId="0" xfId="0" applyFont="1" applyAlignment="1">
      <alignment horizontal="center"/>
    </xf>
    <xf numFmtId="0" fontId="33" fillId="0" borderId="12" xfId="0" applyFont="1" applyBorder="1" applyAlignment="1">
      <alignment horizontal="left" vertical="center"/>
    </xf>
    <xf numFmtId="0" fontId="33" fillId="0" borderId="23" xfId="0" applyFont="1" applyBorder="1" applyAlignment="1">
      <alignment horizontal="left" vertical="center"/>
    </xf>
    <xf numFmtId="0" fontId="26" fillId="0" borderId="0" xfId="0" applyFont="1" applyBorder="1" applyAlignment="1" applyProtection="1">
      <alignment horizontal="left" vertical="center"/>
      <protection locked="0"/>
    </xf>
    <xf numFmtId="0" fontId="26" fillId="0" borderId="14" xfId="0" applyFont="1" applyBorder="1" applyAlignment="1" applyProtection="1">
      <alignment horizontal="left" vertical="center"/>
      <protection locked="0"/>
    </xf>
    <xf numFmtId="0" fontId="26" fillId="0" borderId="0" xfId="0" applyFont="1" applyBorder="1" applyAlignment="1" applyProtection="1">
      <alignment horizontal="left" vertical="center" wrapText="1"/>
      <protection locked="0"/>
    </xf>
    <xf numFmtId="0" fontId="26" fillId="0" borderId="14" xfId="0" applyFont="1" applyBorder="1" applyAlignment="1" applyProtection="1">
      <alignment horizontal="left" vertical="center" wrapText="1"/>
      <protection locked="0"/>
    </xf>
    <xf numFmtId="0" fontId="26" fillId="0" borderId="10" xfId="0" applyFont="1" applyBorder="1" applyAlignment="1">
      <alignment horizontal="left" vertical="center"/>
    </xf>
    <xf numFmtId="0" fontId="26" fillId="0" borderId="16" xfId="0" applyFont="1" applyBorder="1" applyAlignment="1">
      <alignment horizontal="left" vertical="center"/>
    </xf>
    <xf numFmtId="0" fontId="16" fillId="0" borderId="20" xfId="0" quotePrefix="1" applyFont="1" applyBorder="1" applyAlignment="1" applyProtection="1">
      <alignment horizontal="center" vertical="center"/>
      <protection locked="0"/>
    </xf>
    <xf numFmtId="0" fontId="16" fillId="0" borderId="11" xfId="0" quotePrefix="1" applyFont="1" applyBorder="1" applyAlignment="1" applyProtection="1">
      <alignment horizontal="center" vertical="center"/>
      <protection locked="0"/>
    </xf>
    <xf numFmtId="0" fontId="16" fillId="0" borderId="13" xfId="0" quotePrefix="1" applyFont="1" applyBorder="1" applyAlignment="1" applyProtection="1">
      <alignment horizontal="center" vertical="center"/>
      <protection locked="0"/>
    </xf>
    <xf numFmtId="0" fontId="26" fillId="0" borderId="12" xfId="0" applyFont="1" applyBorder="1" applyAlignment="1" applyProtection="1">
      <alignment vertical="center"/>
      <protection locked="0"/>
    </xf>
    <xf numFmtId="0" fontId="26" fillId="0" borderId="23" xfId="0" applyFont="1" applyBorder="1" applyAlignment="1" applyProtection="1">
      <alignment vertical="center"/>
      <protection locked="0"/>
    </xf>
    <xf numFmtId="0" fontId="22" fillId="0" borderId="0" xfId="0" applyFont="1" applyBorder="1" applyAlignment="1">
      <alignment horizontal="left" vertical="center" wrapText="1"/>
    </xf>
    <xf numFmtId="0" fontId="22" fillId="0" borderId="14" xfId="0" applyFont="1" applyBorder="1" applyAlignment="1">
      <alignment horizontal="left" vertical="center" wrapText="1"/>
    </xf>
    <xf numFmtId="0" fontId="0" fillId="0" borderId="14" xfId="0" applyBorder="1" applyAlignment="1">
      <alignment horizontal="left"/>
    </xf>
    <xf numFmtId="0" fontId="33" fillId="0" borderId="0" xfId="0" applyFont="1" applyBorder="1" applyAlignment="1">
      <alignment horizontal="left"/>
    </xf>
    <xf numFmtId="0" fontId="33" fillId="0" borderId="14" xfId="0" applyFont="1" applyBorder="1" applyAlignment="1">
      <alignment horizontal="left"/>
    </xf>
    <xf numFmtId="0" fontId="86" fillId="0" borderId="0" xfId="0" applyFont="1" applyBorder="1" applyAlignment="1">
      <alignment horizontal="left" vertical="top" wrapText="1"/>
    </xf>
    <xf numFmtId="0" fontId="86" fillId="0" borderId="14" xfId="0" applyFont="1" applyBorder="1" applyAlignment="1">
      <alignment horizontal="left" vertical="top" wrapText="1"/>
    </xf>
    <xf numFmtId="0" fontId="28" fillId="0" borderId="0" xfId="0" applyFont="1" applyBorder="1" applyAlignment="1" applyProtection="1">
      <alignment vertical="top" wrapText="1"/>
      <protection locked="0"/>
    </xf>
    <xf numFmtId="0" fontId="28" fillId="0" borderId="0" xfId="0" applyFont="1" applyAlignment="1" applyProtection="1">
      <alignment vertical="top" wrapText="1"/>
      <protection locked="0"/>
    </xf>
    <xf numFmtId="0" fontId="33" fillId="0" borderId="11" xfId="0" applyFont="1" applyBorder="1" applyAlignment="1">
      <alignment horizontal="center"/>
    </xf>
    <xf numFmtId="0" fontId="33" fillId="0" borderId="13" xfId="0" applyFont="1" applyBorder="1" applyAlignment="1">
      <alignment horizontal="center"/>
    </xf>
    <xf numFmtId="0" fontId="0" fillId="0" borderId="20" xfId="0" quotePrefix="1" applyBorder="1" applyAlignment="1">
      <alignment horizontal="center"/>
    </xf>
    <xf numFmtId="0" fontId="0" fillId="0" borderId="11" xfId="0" quotePrefix="1" applyBorder="1" applyAlignment="1">
      <alignment horizontal="center"/>
    </xf>
    <xf numFmtId="0" fontId="0" fillId="0" borderId="13" xfId="0" quotePrefix="1" applyBorder="1" applyAlignment="1">
      <alignment horizontal="center"/>
    </xf>
    <xf numFmtId="0" fontId="25" fillId="0" borderId="0" xfId="0" applyFont="1" applyBorder="1" applyAlignment="1">
      <alignment horizontal="center" vertical="center"/>
    </xf>
    <xf numFmtId="0" fontId="34" fillId="0" borderId="12" xfId="0" applyFont="1" applyBorder="1" applyAlignment="1">
      <alignment horizontal="center"/>
    </xf>
    <xf numFmtId="0" fontId="34" fillId="0" borderId="23" xfId="0" applyFont="1" applyBorder="1" applyAlignment="1">
      <alignment horizontal="center"/>
    </xf>
    <xf numFmtId="0" fontId="14" fillId="0" borderId="0" xfId="0" applyFont="1" applyBorder="1" applyAlignment="1">
      <alignment horizontal="left" vertical="center"/>
    </xf>
    <xf numFmtId="0" fontId="14" fillId="0" borderId="14" xfId="0" applyFont="1" applyBorder="1" applyAlignment="1">
      <alignment horizontal="left" vertical="center"/>
    </xf>
    <xf numFmtId="0" fontId="14" fillId="0" borderId="10" xfId="0" applyFont="1" applyBorder="1" applyAlignment="1">
      <alignment horizontal="left" vertical="center"/>
    </xf>
    <xf numFmtId="0" fontId="14" fillId="0" borderId="16" xfId="0" applyFont="1" applyBorder="1" applyAlignment="1">
      <alignment horizontal="left" vertical="center"/>
    </xf>
    <xf numFmtId="0" fontId="14" fillId="0" borderId="0" xfId="0" applyFont="1" applyBorder="1" applyAlignment="1">
      <alignment horizontal="left" vertical="center" wrapText="1"/>
    </xf>
    <xf numFmtId="0" fontId="14" fillId="0" borderId="14" xfId="0" applyFont="1" applyBorder="1" applyAlignment="1">
      <alignment horizontal="left" vertical="center" wrapText="1"/>
    </xf>
    <xf numFmtId="0" fontId="14" fillId="0" borderId="0"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4" fillId="0" borderId="21" xfId="0" applyFont="1" applyBorder="1" applyAlignment="1">
      <alignment horizontal="left" vertical="top" wrapText="1"/>
    </xf>
    <xf numFmtId="0" fontId="14" fillId="0" borderId="0" xfId="0" applyFont="1" applyBorder="1" applyAlignment="1">
      <alignment horizontal="left" vertical="top" wrapText="1"/>
    </xf>
    <xf numFmtId="0" fontId="14" fillId="0" borderId="14" xfId="0" applyFont="1" applyBorder="1" applyAlignment="1">
      <alignment horizontal="left" vertical="top" wrapText="1"/>
    </xf>
    <xf numFmtId="0" fontId="45" fillId="0" borderId="0" xfId="0" applyFont="1" applyBorder="1" applyAlignment="1">
      <alignment horizontal="left"/>
    </xf>
    <xf numFmtId="0" fontId="45" fillId="0" borderId="14" xfId="0" applyFont="1" applyBorder="1" applyAlignment="1">
      <alignment horizontal="left"/>
    </xf>
    <xf numFmtId="0" fontId="16" fillId="0" borderId="20" xfId="0" quotePrefix="1" applyFont="1" applyBorder="1" applyAlignment="1">
      <alignment horizontal="center"/>
    </xf>
    <xf numFmtId="0" fontId="16" fillId="0" borderId="11" xfId="0" quotePrefix="1" applyFont="1" applyBorder="1" applyAlignment="1">
      <alignment horizontal="center"/>
    </xf>
    <xf numFmtId="0" fontId="16" fillId="0" borderId="13" xfId="0" quotePrefix="1" applyFont="1" applyBorder="1" applyAlignment="1">
      <alignment horizontal="center"/>
    </xf>
    <xf numFmtId="0" fontId="47" fillId="0" borderId="0" xfId="0" applyFont="1" applyBorder="1" applyAlignment="1">
      <alignment horizontal="left" vertical="top" wrapText="1"/>
    </xf>
    <xf numFmtId="0" fontId="47" fillId="0" borderId="14" xfId="0" applyFont="1" applyBorder="1" applyAlignment="1">
      <alignment horizontal="left" vertical="top" wrapText="1"/>
    </xf>
    <xf numFmtId="0" fontId="14" fillId="0" borderId="0" xfId="0" applyFont="1" applyBorder="1" applyAlignment="1">
      <alignment vertical="center"/>
    </xf>
    <xf numFmtId="0" fontId="14" fillId="0" borderId="14" xfId="0" applyFont="1" applyBorder="1" applyAlignment="1">
      <alignment vertical="center"/>
    </xf>
    <xf numFmtId="0" fontId="34" fillId="0" borderId="20" xfId="0" applyFont="1" applyBorder="1" applyAlignment="1">
      <alignment horizontal="center" vertical="top" wrapText="1"/>
    </xf>
    <xf numFmtId="0" fontId="34" fillId="0" borderId="11" xfId="0" applyFont="1" applyBorder="1" applyAlignment="1">
      <alignment horizontal="center" vertical="top" wrapText="1"/>
    </xf>
    <xf numFmtId="0" fontId="34" fillId="0" borderId="13" xfId="0" applyFont="1" applyBorder="1" applyAlignment="1">
      <alignment horizontal="center" vertical="top" wrapText="1"/>
    </xf>
    <xf numFmtId="0" fontId="34" fillId="0" borderId="20" xfId="0" applyFont="1" applyBorder="1" applyAlignment="1">
      <alignment horizontal="center" vertical="center" wrapText="1"/>
    </xf>
    <xf numFmtId="0" fontId="71" fillId="0" borderId="0" xfId="0" applyFont="1" applyBorder="1" applyAlignment="1">
      <alignment horizontal="center" vertical="top"/>
    </xf>
    <xf numFmtId="0" fontId="28" fillId="0" borderId="0" xfId="0" applyFont="1" applyAlignment="1" applyProtection="1">
      <alignment horizontal="left"/>
      <protection locked="0"/>
    </xf>
    <xf numFmtId="0" fontId="33" fillId="0" borderId="10" xfId="0" applyFont="1" applyBorder="1" applyAlignment="1">
      <alignment horizontal="center" vertical="center"/>
    </xf>
    <xf numFmtId="0" fontId="28" fillId="0" borderId="12" xfId="0" applyFont="1" applyFill="1" applyBorder="1" applyAlignment="1">
      <alignment horizontal="left" vertical="top" wrapText="1"/>
    </xf>
    <xf numFmtId="0" fontId="28" fillId="0" borderId="0" xfId="0" applyFont="1" applyFill="1" applyBorder="1" applyAlignment="1">
      <alignment horizontal="left" vertical="top"/>
    </xf>
    <xf numFmtId="0" fontId="96" fillId="24" borderId="12" xfId="0" applyFont="1" applyFill="1" applyBorder="1" applyAlignment="1" applyProtection="1">
      <alignment horizontal="left" vertical="top" wrapText="1"/>
    </xf>
    <xf numFmtId="0" fontId="96" fillId="24" borderId="0" xfId="0" applyFont="1" applyFill="1" applyBorder="1" applyAlignment="1" applyProtection="1">
      <alignment horizontal="left" vertical="top" wrapText="1"/>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33" fillId="0" borderId="24" xfId="0" applyFont="1" applyBorder="1" applyAlignment="1">
      <alignment horizontal="center" vertical="center"/>
    </xf>
    <xf numFmtId="0" fontId="33" fillId="0" borderId="23" xfId="0" applyFont="1"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25" fillId="0" borderId="11" xfId="0" applyFont="1" applyBorder="1" applyAlignment="1">
      <alignment horizontal="center" vertical="center" wrapText="1"/>
    </xf>
    <xf numFmtId="0" fontId="3" fillId="0" borderId="10" xfId="0" applyFont="1" applyBorder="1" applyAlignment="1">
      <alignment horizontal="center" vertical="center"/>
    </xf>
    <xf numFmtId="0" fontId="33" fillId="0" borderId="16" xfId="0" applyFont="1" applyBorder="1" applyAlignment="1">
      <alignment horizontal="center" vertical="center"/>
    </xf>
    <xf numFmtId="0" fontId="73" fillId="0" borderId="0" xfId="0" applyFont="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33" fillId="0" borderId="0" xfId="0" applyFont="1" applyBorder="1" applyAlignment="1">
      <alignment horizontal="center" vertical="center"/>
    </xf>
    <xf numFmtId="2" fontId="0" fillId="0" borderId="21" xfId="0" applyNumberFormat="1" applyBorder="1" applyAlignment="1">
      <alignment horizontal="center" vertical="center"/>
    </xf>
    <xf numFmtId="2" fontId="0" fillId="0" borderId="14" xfId="0" applyNumberFormat="1" applyBorder="1" applyAlignment="1">
      <alignment horizontal="center" vertical="center"/>
    </xf>
    <xf numFmtId="166" fontId="3" fillId="0" borderId="21" xfId="0" applyNumberFormat="1" applyFont="1" applyBorder="1" applyAlignment="1">
      <alignment horizontal="center" vertical="center"/>
    </xf>
    <xf numFmtId="166" fontId="3" fillId="0" borderId="14" xfId="0" applyNumberFormat="1" applyFont="1" applyBorder="1" applyAlignment="1">
      <alignment horizontal="center" vertical="center"/>
    </xf>
    <xf numFmtId="2" fontId="0" fillId="0" borderId="24" xfId="0" applyNumberFormat="1" applyBorder="1" applyAlignment="1">
      <alignment horizontal="center" vertical="center"/>
    </xf>
    <xf numFmtId="2" fontId="0" fillId="0" borderId="23" xfId="0" applyNumberFormat="1" applyBorder="1" applyAlignment="1">
      <alignment horizontal="center" vertical="center"/>
    </xf>
    <xf numFmtId="0" fontId="26" fillId="0" borderId="21" xfId="0" applyFont="1" applyBorder="1" applyAlignment="1">
      <alignment horizontal="center" vertical="center"/>
    </xf>
    <xf numFmtId="0" fontId="26" fillId="0" borderId="14" xfId="0" applyFont="1" applyBorder="1" applyAlignment="1">
      <alignment horizontal="center" vertical="center"/>
    </xf>
    <xf numFmtId="0" fontId="26" fillId="0" borderId="24" xfId="0" applyFont="1" applyBorder="1" applyAlignment="1">
      <alignment horizontal="center" vertical="center"/>
    </xf>
    <xf numFmtId="0" fontId="26"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96" fillId="0" borderId="0" xfId="0" applyFont="1" applyBorder="1" applyAlignment="1" applyProtection="1">
      <alignment horizontal="right" vertical="center"/>
      <protection locked="0"/>
    </xf>
    <xf numFmtId="0" fontId="26" fillId="0" borderId="17" xfId="0" applyFont="1" applyBorder="1" applyAlignment="1">
      <alignment horizontal="center" vertical="center"/>
    </xf>
    <xf numFmtId="0" fontId="26" fillId="0" borderId="16" xfId="0" applyFont="1" applyBorder="1" applyAlignment="1">
      <alignment horizontal="center" vertical="center"/>
    </xf>
    <xf numFmtId="2" fontId="0" fillId="0" borderId="17" xfId="0" applyNumberFormat="1" applyBorder="1" applyAlignment="1">
      <alignment horizontal="center" vertical="center"/>
    </xf>
    <xf numFmtId="2" fontId="0" fillId="0" borderId="16" xfId="0" applyNumberFormat="1" applyBorder="1" applyAlignment="1">
      <alignment horizontal="center" vertical="center"/>
    </xf>
    <xf numFmtId="2" fontId="3" fillId="0" borderId="17" xfId="0" applyNumberFormat="1" applyFont="1" applyBorder="1" applyAlignment="1">
      <alignment horizontal="center" vertical="center"/>
    </xf>
    <xf numFmtId="2" fontId="3" fillId="0" borderId="16" xfId="0" applyNumberFormat="1" applyFont="1" applyBorder="1" applyAlignment="1">
      <alignment horizontal="center" vertical="center"/>
    </xf>
    <xf numFmtId="0" fontId="71" fillId="0" borderId="10" xfId="0" applyFont="1" applyBorder="1" applyAlignment="1">
      <alignment horizontal="center" vertical="top" wrapText="1"/>
    </xf>
    <xf numFmtId="0" fontId="3" fillId="0" borderId="14" xfId="0" quotePrefix="1" applyFont="1" applyBorder="1" applyAlignment="1">
      <alignment horizontal="center" vertical="center"/>
    </xf>
    <xf numFmtId="0" fontId="3" fillId="0" borderId="17" xfId="0" quotePrefix="1" applyFont="1" applyBorder="1" applyAlignment="1">
      <alignment horizontal="center" vertical="center"/>
    </xf>
    <xf numFmtId="0" fontId="3" fillId="0" borderId="16" xfId="0" quotePrefix="1" applyFont="1" applyBorder="1" applyAlignment="1">
      <alignment horizontal="center" vertical="center"/>
    </xf>
    <xf numFmtId="0" fontId="8" fillId="0" borderId="0" xfId="0" quotePrefix="1" applyFont="1"/>
    <xf numFmtId="0" fontId="8" fillId="0" borderId="0" xfId="0" applyFont="1"/>
    <xf numFmtId="0" fontId="33" fillId="0" borderId="17" xfId="0" applyFont="1" applyBorder="1" applyAlignment="1">
      <alignment horizontal="center" vertical="center" wrapText="1"/>
    </xf>
    <xf numFmtId="0" fontId="33" fillId="0" borderId="16" xfId="0" applyFont="1" applyBorder="1" applyAlignment="1">
      <alignment horizontal="center" vertical="center" wrapText="1"/>
    </xf>
    <xf numFmtId="0" fontId="25" fillId="0" borderId="20" xfId="0" applyFont="1" applyBorder="1" applyAlignment="1">
      <alignment horizontal="center" vertical="center"/>
    </xf>
    <xf numFmtId="0" fontId="25" fillId="0" borderId="13" xfId="0" applyFont="1" applyBorder="1" applyAlignment="1">
      <alignment horizontal="center" vertical="center"/>
    </xf>
    <xf numFmtId="0" fontId="28" fillId="0" borderId="0" xfId="0" applyFont="1" applyBorder="1" applyAlignment="1">
      <alignment vertical="top" wrapText="1"/>
    </xf>
    <xf numFmtId="0" fontId="28" fillId="0" borderId="0" xfId="0" applyFont="1" applyAlignment="1">
      <alignment vertical="top" wrapText="1"/>
    </xf>
    <xf numFmtId="0" fontId="33" fillId="0" borderId="21" xfId="0" applyFont="1" applyBorder="1" applyAlignment="1">
      <alignment horizontal="left" vertical="center"/>
    </xf>
    <xf numFmtId="0" fontId="77" fillId="0" borderId="10" xfId="0" applyFont="1" applyBorder="1" applyAlignment="1">
      <alignment horizontal="center" vertical="center"/>
    </xf>
    <xf numFmtId="0" fontId="25" fillId="0" borderId="11" xfId="0" applyFont="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2" fontId="3" fillId="0" borderId="0" xfId="0" applyNumberFormat="1" applyFont="1" applyBorder="1" applyAlignment="1">
      <alignment horizontal="center" vertical="center"/>
    </xf>
    <xf numFmtId="0" fontId="91" fillId="0" borderId="24" xfId="0" applyFont="1" applyBorder="1" applyAlignment="1">
      <alignment horizontal="center" vertical="center" wrapText="1"/>
    </xf>
    <xf numFmtId="0" fontId="91" fillId="0" borderId="23" xfId="0" applyFont="1" applyBorder="1" applyAlignment="1">
      <alignment horizontal="center" vertical="center" wrapText="1"/>
    </xf>
    <xf numFmtId="0" fontId="91" fillId="0" borderId="17" xfId="0" applyFont="1" applyBorder="1" applyAlignment="1">
      <alignment horizontal="center" vertical="center" wrapText="1"/>
    </xf>
    <xf numFmtId="0" fontId="91" fillId="0" borderId="16" xfId="0" applyFont="1" applyBorder="1" applyAlignment="1">
      <alignment horizontal="center" vertical="center" wrapText="1"/>
    </xf>
    <xf numFmtId="0" fontId="71" fillId="0" borderId="10" xfId="0" applyFont="1" applyBorder="1" applyAlignment="1">
      <alignment horizontal="center" vertical="center"/>
    </xf>
    <xf numFmtId="0" fontId="30" fillId="0" borderId="15"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0" fillId="0" borderId="24" xfId="0" quotePrefix="1" applyBorder="1" applyAlignment="1">
      <alignment horizontal="center" vertical="center"/>
    </xf>
    <xf numFmtId="0" fontId="0" fillId="0" borderId="23" xfId="0" quotePrefix="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164" fontId="3" fillId="0" borderId="21"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16" fillId="0" borderId="20" xfId="0" quotePrefix="1" applyFont="1" applyFill="1" applyBorder="1" applyAlignment="1">
      <alignment horizontal="center" vertical="center"/>
    </xf>
    <xf numFmtId="0" fontId="16" fillId="0" borderId="13" xfId="0" quotePrefix="1" applyFont="1" applyFill="1" applyBorder="1" applyAlignment="1">
      <alignment horizontal="center" vertical="center"/>
    </xf>
    <xf numFmtId="0" fontId="3" fillId="0" borderId="24" xfId="0" quotePrefix="1" applyFont="1" applyBorder="1" applyAlignment="1">
      <alignment horizontal="center" vertical="center"/>
    </xf>
    <xf numFmtId="0" fontId="3" fillId="0" borderId="23" xfId="0" quotePrefix="1" applyFont="1" applyBorder="1" applyAlignment="1">
      <alignment horizontal="center" vertical="center"/>
    </xf>
    <xf numFmtId="0" fontId="68" fillId="0" borderId="10" xfId="0" applyFont="1" applyBorder="1" applyAlignment="1">
      <alignment horizontal="right" vertical="center"/>
    </xf>
    <xf numFmtId="164" fontId="0" fillId="0" borderId="24" xfId="0" applyNumberFormat="1" applyBorder="1" applyAlignment="1">
      <alignment horizontal="center" vertical="center"/>
    </xf>
    <xf numFmtId="164" fontId="0" fillId="0" borderId="23" xfId="0" applyNumberFormat="1" applyBorder="1" applyAlignment="1">
      <alignment horizontal="center" vertical="center"/>
    </xf>
    <xf numFmtId="164" fontId="3" fillId="0" borderId="17" xfId="0" applyNumberFormat="1" applyFont="1" applyBorder="1" applyAlignment="1">
      <alignment horizontal="center" vertical="center"/>
    </xf>
    <xf numFmtId="164" fontId="3" fillId="0" borderId="16" xfId="0" applyNumberFormat="1" applyFont="1" applyBorder="1" applyAlignment="1">
      <alignment horizontal="center" vertical="center"/>
    </xf>
    <xf numFmtId="164" fontId="3" fillId="0" borderId="21"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0" fontId="71" fillId="0" borderId="0" xfId="0" applyFont="1" applyAlignment="1">
      <alignment horizontal="center" vertical="top" wrapText="1"/>
    </xf>
    <xf numFmtId="0" fontId="162" fillId="0" borderId="12" xfId="0" applyFont="1" applyBorder="1" applyAlignment="1" applyProtection="1">
      <alignment horizontal="left" vertical="top" wrapText="1"/>
    </xf>
    <xf numFmtId="0" fontId="162" fillId="0" borderId="0" xfId="0" applyFont="1" applyAlignment="1" applyProtection="1">
      <alignment horizontal="left" vertical="top" wrapText="1"/>
    </xf>
    <xf numFmtId="0" fontId="99" fillId="0" borderId="12" xfId="0" applyFont="1" applyBorder="1" applyAlignment="1">
      <alignment vertical="top" wrapText="1"/>
    </xf>
    <xf numFmtId="0" fontId="9" fillId="0" borderId="12" xfId="0" applyFont="1" applyBorder="1" applyAlignment="1">
      <alignment vertical="top" wrapText="1"/>
    </xf>
    <xf numFmtId="0" fontId="9" fillId="0" borderId="0" xfId="0" applyFont="1" applyAlignment="1">
      <alignment vertical="top" wrapText="1"/>
    </xf>
    <xf numFmtId="0" fontId="16" fillId="0" borderId="11" xfId="0" applyFont="1" applyBorder="1" applyAlignment="1">
      <alignment horizontal="center" vertical="center" wrapText="1"/>
    </xf>
    <xf numFmtId="0" fontId="28" fillId="0" borderId="0" xfId="0" applyFont="1" applyBorder="1" applyAlignment="1" applyProtection="1">
      <alignment horizontal="right" vertical="center"/>
      <protection locked="0"/>
    </xf>
    <xf numFmtId="0" fontId="16" fillId="0" borderId="17" xfId="0" applyFont="1" applyBorder="1" applyAlignment="1">
      <alignment horizontal="center" vertical="center"/>
    </xf>
    <xf numFmtId="0" fontId="16" fillId="0" borderId="10" xfId="0" applyFont="1" applyBorder="1" applyAlignment="1">
      <alignment horizontal="center" vertical="center"/>
    </xf>
    <xf numFmtId="0" fontId="16" fillId="0" borderId="16" xfId="0" applyFont="1" applyBorder="1" applyAlignment="1">
      <alignment horizontal="center" vertical="center"/>
    </xf>
    <xf numFmtId="0" fontId="99" fillId="0" borderId="12"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16" fillId="0" borderId="24" xfId="0" applyFont="1" applyBorder="1" applyAlignment="1">
      <alignment horizontal="center" vertical="center"/>
    </xf>
    <xf numFmtId="0" fontId="16" fillId="0" borderId="12" xfId="0" applyFont="1" applyBorder="1" applyAlignment="1">
      <alignment horizontal="center" vertical="center"/>
    </xf>
    <xf numFmtId="0" fontId="16" fillId="0" borderId="23" xfId="0" applyFont="1" applyBorder="1" applyAlignment="1">
      <alignment horizontal="center" vertical="center"/>
    </xf>
    <xf numFmtId="0" fontId="16" fillId="0" borderId="21"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22" fillId="0" borderId="21" xfId="0" applyFont="1" applyBorder="1" applyAlignment="1">
      <alignment horizontal="center" vertical="center" shrinkToFit="1"/>
    </xf>
    <xf numFmtId="0" fontId="22" fillId="0" borderId="14" xfId="0" applyFont="1" applyBorder="1" applyAlignment="1">
      <alignment horizontal="center" vertical="center" shrinkToFit="1"/>
    </xf>
    <xf numFmtId="0" fontId="99" fillId="0" borderId="0" xfId="0" applyFont="1" applyBorder="1" applyAlignment="1">
      <alignment vertical="top" wrapText="1"/>
    </xf>
    <xf numFmtId="0" fontId="0" fillId="0" borderId="0" xfId="0" applyBorder="1" applyAlignment="1">
      <alignment vertical="top" wrapText="1"/>
    </xf>
    <xf numFmtId="0" fontId="99" fillId="0" borderId="0" xfId="0" applyFont="1" applyBorder="1" applyAlignment="1">
      <alignment horizontal="left" vertical="center" wrapText="1"/>
    </xf>
    <xf numFmtId="0" fontId="22" fillId="0" borderId="17" xfId="0" applyFont="1" applyBorder="1" applyAlignment="1">
      <alignment horizontal="center" vertical="center" shrinkToFit="1"/>
    </xf>
    <xf numFmtId="0" fontId="22" fillId="0" borderId="16" xfId="0" applyFont="1" applyBorder="1" applyAlignment="1">
      <alignment horizontal="center" vertical="center" shrinkToFit="1"/>
    </xf>
    <xf numFmtId="0" fontId="28" fillId="0" borderId="12" xfId="0" applyFont="1" applyBorder="1" applyAlignment="1">
      <alignment horizontal="left" vertical="top" wrapText="1"/>
    </xf>
    <xf numFmtId="0" fontId="3" fillId="0" borderId="18" xfId="0" applyFont="1" applyBorder="1" applyAlignment="1">
      <alignment horizontal="center" vertical="center" wrapText="1"/>
    </xf>
    <xf numFmtId="0" fontId="22" fillId="0" borderId="24" xfId="0" applyFont="1" applyBorder="1" applyAlignment="1">
      <alignment horizontal="center" vertical="center" shrinkToFit="1"/>
    </xf>
    <xf numFmtId="0" fontId="22" fillId="0" borderId="23" xfId="0" applyFont="1" applyBorder="1" applyAlignment="1">
      <alignment horizontal="center" vertical="center" shrinkToFit="1"/>
    </xf>
    <xf numFmtId="0" fontId="75" fillId="0" borderId="0" xfId="0" applyFont="1" applyAlignment="1">
      <alignment horizontal="center" vertical="center" wrapText="1"/>
    </xf>
    <xf numFmtId="0" fontId="17" fillId="0" borderId="24"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4" xfId="0" applyFont="1" applyBorder="1" applyAlignment="1">
      <alignment horizontal="center" vertical="center" wrapText="1"/>
    </xf>
    <xf numFmtId="0" fontId="62" fillId="0" borderId="20" xfId="0" quotePrefix="1" applyFont="1" applyBorder="1" applyAlignment="1">
      <alignment horizontal="center" vertical="center"/>
    </xf>
    <xf numFmtId="0" fontId="62" fillId="0" borderId="13" xfId="0" quotePrefix="1" applyFont="1" applyBorder="1" applyAlignment="1">
      <alignment horizontal="center" vertical="center"/>
    </xf>
    <xf numFmtId="0" fontId="17" fillId="0" borderId="19" xfId="0" applyFont="1" applyBorder="1" applyAlignment="1">
      <alignment horizontal="center" vertical="center"/>
    </xf>
    <xf numFmtId="0" fontId="17" fillId="0" borderId="19" xfId="0" applyFont="1" applyBorder="1" applyAlignment="1">
      <alignment horizontal="center" vertical="center" wrapText="1"/>
    </xf>
    <xf numFmtId="0" fontId="90" fillId="0" borderId="21" xfId="0" applyFont="1" applyBorder="1" applyAlignment="1">
      <alignment horizontal="left" vertical="center" wrapText="1"/>
    </xf>
    <xf numFmtId="0" fontId="90" fillId="0" borderId="0" xfId="0" applyFont="1" applyBorder="1" applyAlignment="1">
      <alignment horizontal="left" vertical="center" wrapText="1"/>
    </xf>
    <xf numFmtId="0" fontId="90" fillId="0" borderId="17" xfId="0" applyFont="1" applyBorder="1" applyAlignment="1">
      <alignment horizontal="left" vertical="center" wrapText="1"/>
    </xf>
    <xf numFmtId="0" fontId="90" fillId="0" borderId="10" xfId="0" applyFont="1" applyBorder="1" applyAlignment="1">
      <alignment horizontal="left" vertical="center" wrapText="1"/>
    </xf>
    <xf numFmtId="0" fontId="91" fillId="0" borderId="21" xfId="0" applyFont="1" applyBorder="1" applyAlignment="1">
      <alignment horizontal="left" vertical="center" wrapText="1"/>
    </xf>
    <xf numFmtId="0" fontId="91" fillId="0" borderId="0" xfId="0" applyFont="1" applyBorder="1" applyAlignment="1">
      <alignment horizontal="left" vertical="center" wrapText="1"/>
    </xf>
    <xf numFmtId="0" fontId="91" fillId="0" borderId="14" xfId="0" applyFont="1" applyBorder="1" applyAlignment="1">
      <alignment horizontal="left" vertical="center" wrapText="1"/>
    </xf>
    <xf numFmtId="0" fontId="26" fillId="0" borderId="20" xfId="0" applyFont="1" applyBorder="1" applyAlignment="1">
      <alignment horizontal="center"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92" fillId="0" borderId="0" xfId="0" applyFont="1" applyBorder="1" applyAlignment="1">
      <alignment horizontal="left" vertical="top" wrapText="1"/>
    </xf>
    <xf numFmtId="0" fontId="8" fillId="0" borderId="0" xfId="0" applyFont="1" applyBorder="1" applyAlignment="1">
      <alignment vertical="top" wrapText="1"/>
    </xf>
    <xf numFmtId="0" fontId="8" fillId="0" borderId="0" xfId="0" applyFont="1" applyAlignment="1">
      <alignment vertical="top" wrapText="1"/>
    </xf>
    <xf numFmtId="0" fontId="89" fillId="0" borderId="0" xfId="0" applyFont="1" applyBorder="1" applyAlignment="1">
      <alignment horizontal="center" vertical="center"/>
    </xf>
    <xf numFmtId="0" fontId="84" fillId="0" borderId="0" xfId="0" applyFont="1" applyAlignment="1">
      <alignment horizontal="center" vertical="top" wrapText="1"/>
    </xf>
    <xf numFmtId="0" fontId="30" fillId="0" borderId="20" xfId="0" quotePrefix="1" applyFont="1" applyBorder="1" applyAlignment="1">
      <alignment horizontal="center" vertical="center"/>
    </xf>
    <xf numFmtId="0" fontId="30" fillId="0" borderId="13" xfId="0" quotePrefix="1" applyFont="1" applyBorder="1" applyAlignment="1">
      <alignment horizontal="center" vertical="center"/>
    </xf>
    <xf numFmtId="0" fontId="62" fillId="0" borderId="17" xfId="0" applyFont="1" applyBorder="1" applyAlignment="1">
      <alignment horizontal="center" vertical="center"/>
    </xf>
    <xf numFmtId="0" fontId="62" fillId="0" borderId="16" xfId="0" applyFont="1" applyBorder="1" applyAlignment="1">
      <alignment horizontal="center" vertical="center"/>
    </xf>
    <xf numFmtId="0" fontId="89" fillId="0" borderId="0" xfId="0" applyFont="1" applyBorder="1" applyAlignment="1">
      <alignment horizontal="center"/>
    </xf>
    <xf numFmtId="0" fontId="91" fillId="0" borderId="20" xfId="0" applyFont="1" applyBorder="1" applyAlignment="1">
      <alignment horizontal="center" vertical="center"/>
    </xf>
    <xf numFmtId="0" fontId="91" fillId="0" borderId="13" xfId="0" applyFont="1" applyBorder="1" applyAlignment="1">
      <alignment horizontal="center" vertical="center"/>
    </xf>
    <xf numFmtId="0" fontId="30" fillId="0" borderId="20" xfId="0" quotePrefix="1" applyFont="1" applyBorder="1" applyAlignment="1">
      <alignment horizontal="center" vertical="center" wrapText="1"/>
    </xf>
    <xf numFmtId="0" fontId="30" fillId="0" borderId="13" xfId="0" quotePrefix="1" applyFont="1" applyBorder="1" applyAlignment="1">
      <alignment horizontal="center" vertical="center" wrapText="1"/>
    </xf>
    <xf numFmtId="0" fontId="30" fillId="0" borderId="11" xfId="0" quotePrefix="1" applyFont="1" applyBorder="1" applyAlignment="1">
      <alignment horizontal="center" vertical="center" wrapText="1"/>
    </xf>
    <xf numFmtId="0" fontId="26" fillId="0" borderId="0" xfId="0" applyFont="1" applyBorder="1" applyAlignment="1">
      <alignment horizontal="center" vertical="center"/>
    </xf>
    <xf numFmtId="2" fontId="0" fillId="0" borderId="0" xfId="0" applyNumberFormat="1" applyFill="1" applyBorder="1" applyAlignment="1">
      <alignment horizontal="center" vertical="center"/>
    </xf>
    <xf numFmtId="2" fontId="0" fillId="0" borderId="14" xfId="0" applyNumberFormat="1" applyFill="1" applyBorder="1" applyAlignment="1">
      <alignment horizontal="center" vertical="center"/>
    </xf>
    <xf numFmtId="0" fontId="26" fillId="0" borderId="10" xfId="0" applyFont="1" applyBorder="1" applyAlignment="1">
      <alignment horizontal="center" vertical="center"/>
    </xf>
    <xf numFmtId="0" fontId="62" fillId="0" borderId="20" xfId="0" applyFont="1" applyBorder="1" applyAlignment="1">
      <alignment horizontal="center" vertical="center"/>
    </xf>
    <xf numFmtId="0" fontId="62" fillId="0" borderId="11" xfId="0" applyFont="1" applyBorder="1" applyAlignment="1">
      <alignment horizontal="center" vertical="center"/>
    </xf>
    <xf numFmtId="0" fontId="62" fillId="0" borderId="13" xfId="0" applyFont="1" applyBorder="1" applyAlignment="1">
      <alignment horizontal="center" vertical="center"/>
    </xf>
    <xf numFmtId="0" fontId="84" fillId="0" borderId="10" xfId="0" applyFont="1" applyBorder="1" applyAlignment="1">
      <alignment horizontal="center" wrapText="1"/>
    </xf>
    <xf numFmtId="0" fontId="62" fillId="0" borderId="24"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6" xfId="0" applyFont="1" applyBorder="1" applyAlignment="1">
      <alignment horizontal="center" vertical="center" wrapText="1"/>
    </xf>
    <xf numFmtId="0" fontId="84" fillId="0" borderId="0" xfId="0" applyFont="1" applyAlignment="1">
      <alignment horizontal="center"/>
    </xf>
    <xf numFmtId="0" fontId="62" fillId="0" borderId="18" xfId="0" applyFont="1" applyBorder="1" applyAlignment="1">
      <alignment horizontal="center" vertical="center" wrapText="1"/>
    </xf>
    <xf numFmtId="0" fontId="62" fillId="0" borderId="15" xfId="0" applyFont="1" applyBorder="1" applyAlignment="1">
      <alignment horizontal="center" vertical="center" wrapText="1"/>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71" fillId="0" borderId="0" xfId="0" applyFont="1" applyAlignment="1">
      <alignment horizontal="center" wrapText="1"/>
    </xf>
    <xf numFmtId="0" fontId="96" fillId="0" borderId="12" xfId="0" applyFont="1" applyBorder="1" applyAlignment="1">
      <alignment vertical="top" wrapText="1"/>
    </xf>
    <xf numFmtId="0" fontId="96" fillId="0" borderId="0" xfId="0" applyFont="1" applyAlignment="1">
      <alignment vertical="top" wrapText="1"/>
    </xf>
    <xf numFmtId="0" fontId="71" fillId="0" borderId="10" xfId="0" applyFont="1" applyBorder="1" applyAlignment="1">
      <alignment horizontal="center" vertical="center" wrapText="1"/>
    </xf>
    <xf numFmtId="0" fontId="54" fillId="0" borderId="17" xfId="0" applyFont="1" applyBorder="1" applyAlignment="1">
      <alignment horizontal="center" vertical="center"/>
    </xf>
    <xf numFmtId="0" fontId="54" fillId="0" borderId="10" xfId="0" applyFont="1" applyBorder="1" applyAlignment="1">
      <alignment horizontal="center" vertical="center"/>
    </xf>
    <xf numFmtId="0" fontId="54" fillId="0" borderId="16" xfId="0" applyFont="1" applyBorder="1" applyAlignment="1">
      <alignment horizontal="center" vertical="center"/>
    </xf>
    <xf numFmtId="164" fontId="3" fillId="0" borderId="0" xfId="0" applyNumberFormat="1" applyFont="1" applyBorder="1" applyAlignment="1">
      <alignment horizontal="center" vertical="center"/>
    </xf>
    <xf numFmtId="164" fontId="3" fillId="0" borderId="10"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14" xfId="0" applyNumberFormat="1" applyFont="1" applyBorder="1" applyAlignment="1">
      <alignment horizontal="center" vertical="center"/>
    </xf>
    <xf numFmtId="0" fontId="0" fillId="0" borderId="21" xfId="0" quotePrefix="1" applyBorder="1" applyAlignment="1">
      <alignment horizontal="center" vertical="center"/>
    </xf>
    <xf numFmtId="0" fontId="0" fillId="0" borderId="14" xfId="0" quotePrefix="1" applyBorder="1" applyAlignment="1">
      <alignment horizontal="center" vertical="center"/>
    </xf>
    <xf numFmtId="0" fontId="3" fillId="0" borderId="21" xfId="0" applyFont="1" applyFill="1" applyBorder="1" applyAlignment="1">
      <alignment horizontal="center" vertical="center"/>
    </xf>
    <xf numFmtId="0" fontId="1" fillId="0" borderId="17" xfId="0" applyFont="1" applyBorder="1" applyAlignment="1">
      <alignment horizontal="center" vertical="center"/>
    </xf>
    <xf numFmtId="0" fontId="3" fillId="0" borderId="12" xfId="0" quotePrefix="1" applyFont="1" applyBorder="1" applyAlignment="1">
      <alignment horizontal="center" vertical="center"/>
    </xf>
    <xf numFmtId="0" fontId="3" fillId="0" borderId="20" xfId="0" quotePrefix="1" applyFont="1" applyBorder="1" applyAlignment="1">
      <alignment horizontal="center" vertical="center"/>
    </xf>
    <xf numFmtId="0" fontId="3" fillId="0" borderId="11" xfId="0" quotePrefix="1" applyFont="1" applyBorder="1" applyAlignment="1">
      <alignment horizontal="center" vertical="center"/>
    </xf>
    <xf numFmtId="0" fontId="3" fillId="0" borderId="13" xfId="0" quotePrefix="1" applyFont="1" applyBorder="1" applyAlignment="1">
      <alignment horizontal="center" vertical="center"/>
    </xf>
    <xf numFmtId="0" fontId="3" fillId="0" borderId="0" xfId="0" quotePrefix="1" applyFont="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quotePrefix="1" applyFont="1" applyBorder="1" applyAlignment="1">
      <alignment horizontal="center" vertical="center"/>
    </xf>
    <xf numFmtId="0" fontId="3"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164" fontId="3" fillId="0" borderId="10" xfId="0" quotePrefix="1" applyNumberFormat="1" applyFont="1" applyFill="1" applyBorder="1" applyAlignment="1">
      <alignment horizontal="center" vertical="center"/>
    </xf>
    <xf numFmtId="0" fontId="3" fillId="0" borderId="10" xfId="0" quotePrefix="1" applyFont="1" applyFill="1" applyBorder="1" applyAlignment="1">
      <alignment horizontal="center" vertical="center"/>
    </xf>
    <xf numFmtId="0" fontId="3" fillId="0" borderId="16" xfId="0" quotePrefix="1" applyFont="1" applyFill="1" applyBorder="1" applyAlignment="1">
      <alignment horizontal="center" vertical="center"/>
    </xf>
    <xf numFmtId="164" fontId="1" fillId="0" borderId="24" xfId="0" applyNumberFormat="1" applyFont="1" applyBorder="1" applyAlignment="1">
      <alignment horizontal="center" vertical="center"/>
    </xf>
    <xf numFmtId="164" fontId="1" fillId="0" borderId="12" xfId="0" applyNumberFormat="1" applyFont="1" applyBorder="1" applyAlignment="1">
      <alignment horizontal="center" vertical="center"/>
    </xf>
    <xf numFmtId="164" fontId="1" fillId="0" borderId="23" xfId="0" applyNumberFormat="1" applyFont="1" applyBorder="1" applyAlignment="1">
      <alignment horizontal="center" vertical="center"/>
    </xf>
    <xf numFmtId="0" fontId="30" fillId="0" borderId="17" xfId="0" applyFont="1" applyBorder="1" applyAlignment="1" applyProtection="1">
      <alignment horizontal="center" vertical="center"/>
    </xf>
    <xf numFmtId="0" fontId="30" fillId="0" borderId="10"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24" xfId="0" applyFont="1" applyBorder="1" applyAlignment="1" applyProtection="1">
      <alignment horizontal="center" vertical="center"/>
    </xf>
    <xf numFmtId="0" fontId="30" fillId="0" borderId="23" xfId="0" applyFont="1" applyBorder="1" applyAlignment="1" applyProtection="1">
      <alignment horizontal="center" vertical="center"/>
    </xf>
    <xf numFmtId="0" fontId="34" fillId="0" borderId="23" xfId="0" applyFont="1" applyBorder="1" applyAlignment="1">
      <alignment horizontal="center" vertical="center"/>
    </xf>
    <xf numFmtId="0" fontId="94" fillId="0" borderId="12" xfId="0" applyFont="1" applyBorder="1" applyAlignment="1">
      <alignment horizontal="left" vertical="top" wrapText="1"/>
    </xf>
    <xf numFmtId="0" fontId="8" fillId="0" borderId="12" xfId="0" applyFont="1" applyBorder="1" applyAlignment="1">
      <alignment vertical="top" wrapText="1"/>
    </xf>
    <xf numFmtId="1" fontId="3" fillId="0" borderId="24" xfId="0" applyNumberFormat="1" applyFont="1" applyBorder="1" applyAlignment="1">
      <alignment horizontal="center" vertical="center"/>
    </xf>
    <xf numFmtId="1" fontId="3" fillId="0" borderId="23" xfId="0" applyNumberFormat="1" applyFont="1" applyBorder="1" applyAlignment="1">
      <alignment horizontal="center" vertical="center"/>
    </xf>
    <xf numFmtId="1" fontId="2" fillId="0" borderId="21" xfId="0" applyNumberFormat="1" applyFont="1" applyBorder="1" applyAlignment="1">
      <alignment horizontal="center" vertical="center"/>
    </xf>
    <xf numFmtId="1" fontId="2" fillId="0" borderId="14" xfId="0" applyNumberFormat="1" applyFont="1" applyBorder="1" applyAlignment="1">
      <alignment horizontal="center" vertical="center"/>
    </xf>
    <xf numFmtId="1" fontId="2" fillId="0" borderId="0" xfId="0" applyNumberFormat="1" applyFont="1" applyBorder="1" applyAlignment="1">
      <alignment horizontal="center" vertical="center"/>
    </xf>
    <xf numFmtId="1" fontId="3" fillId="0" borderId="21" xfId="0" applyNumberFormat="1" applyFont="1" applyBorder="1" applyAlignment="1">
      <alignment horizontal="center" vertical="center"/>
    </xf>
    <xf numFmtId="1" fontId="3" fillId="0" borderId="14" xfId="0" applyNumberFormat="1" applyFont="1" applyBorder="1" applyAlignment="1">
      <alignment horizontal="center" vertical="center"/>
    </xf>
    <xf numFmtId="0" fontId="34" fillId="0" borderId="24" xfId="0" applyFont="1" applyBorder="1" applyAlignment="1">
      <alignment horizontal="center" vertical="center"/>
    </xf>
    <xf numFmtId="0" fontId="68" fillId="0" borderId="0" xfId="0" applyFont="1" applyBorder="1" applyAlignment="1">
      <alignment horizontal="right" wrapText="1"/>
    </xf>
    <xf numFmtId="1" fontId="2" fillId="0" borderId="21" xfId="0" applyNumberFormat="1" applyFont="1" applyFill="1" applyBorder="1" applyAlignment="1">
      <alignment horizontal="center" vertical="center"/>
    </xf>
    <xf numFmtId="1" fontId="2" fillId="0" borderId="14" xfId="0" applyNumberFormat="1"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159" fillId="0" borderId="12" xfId="0" applyFont="1" applyBorder="1" applyAlignment="1">
      <alignment horizontal="center" vertical="center"/>
    </xf>
    <xf numFmtId="1" fontId="2" fillId="0" borderId="17" xfId="0" applyNumberFormat="1" applyFont="1" applyBorder="1" applyAlignment="1">
      <alignment horizontal="center" vertical="center"/>
    </xf>
    <xf numFmtId="1" fontId="2" fillId="0" borderId="16" xfId="0" applyNumberFormat="1" applyFont="1" applyBorder="1" applyAlignment="1">
      <alignment horizontal="center" vertical="center"/>
    </xf>
    <xf numFmtId="1" fontId="2" fillId="0" borderId="17" xfId="0" applyNumberFormat="1" applyFont="1" applyFill="1" applyBorder="1" applyAlignment="1">
      <alignment horizontal="center" vertical="center"/>
    </xf>
    <xf numFmtId="1" fontId="2" fillId="0" borderId="16" xfId="0" applyNumberFormat="1" applyFont="1" applyFill="1" applyBorder="1" applyAlignment="1">
      <alignment horizontal="center" vertical="center"/>
    </xf>
    <xf numFmtId="2" fontId="3" fillId="0" borderId="24" xfId="0" applyNumberFormat="1" applyFont="1" applyBorder="1" applyAlignment="1">
      <alignment horizontal="center" vertical="center"/>
    </xf>
    <xf numFmtId="2" fontId="3" fillId="0" borderId="12" xfId="0" applyNumberFormat="1" applyFont="1" applyBorder="1" applyAlignment="1">
      <alignment horizontal="center" vertical="center"/>
    </xf>
    <xf numFmtId="2" fontId="3" fillId="0" borderId="23" xfId="0" applyNumberFormat="1" applyFont="1" applyBorder="1" applyAlignment="1">
      <alignment horizontal="center" vertical="center"/>
    </xf>
    <xf numFmtId="0" fontId="25" fillId="0" borderId="22" xfId="0" applyFont="1" applyBorder="1" applyAlignment="1">
      <alignment vertical="center"/>
    </xf>
    <xf numFmtId="2" fontId="0" fillId="0" borderId="21" xfId="0" applyNumberFormat="1" applyBorder="1" applyAlignment="1" applyProtection="1">
      <alignment horizontal="center" vertical="center"/>
      <protection locked="0"/>
    </xf>
    <xf numFmtId="2" fontId="0" fillId="0" borderId="0" xfId="0" applyNumberFormat="1" applyBorder="1" applyAlignment="1" applyProtection="1">
      <alignment horizontal="center" vertical="center"/>
      <protection locked="0"/>
    </xf>
    <xf numFmtId="2" fontId="0" fillId="0" borderId="14" xfId="0" applyNumberForma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2" fontId="0" fillId="0" borderId="17"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6" xfId="0" applyNumberFormat="1" applyBorder="1" applyAlignment="1" applyProtection="1">
      <alignment horizontal="center" vertical="center"/>
      <protection locked="0"/>
    </xf>
    <xf numFmtId="2" fontId="3" fillId="0" borderId="10" xfId="0" applyNumberFormat="1" applyFont="1" applyBorder="1" applyAlignment="1">
      <alignment horizontal="center" vertical="center"/>
    </xf>
    <xf numFmtId="2" fontId="0" fillId="0" borderId="24" xfId="0" applyNumberFormat="1" applyBorder="1" applyAlignment="1" applyProtection="1">
      <alignment horizontal="center" vertical="center"/>
      <protection locked="0"/>
    </xf>
    <xf numFmtId="2" fontId="0" fillId="0" borderId="12" xfId="0" applyNumberFormat="1" applyBorder="1" applyAlignment="1" applyProtection="1">
      <alignment horizontal="center" vertical="center"/>
      <protection locked="0"/>
    </xf>
    <xf numFmtId="2" fontId="0" fillId="0" borderId="23" xfId="0" applyNumberFormat="1" applyBorder="1" applyAlignment="1" applyProtection="1">
      <alignment horizontal="center" vertical="center"/>
      <protection locked="0"/>
    </xf>
    <xf numFmtId="2" fontId="0" fillId="0" borderId="12" xfId="0" applyNumberFormat="1" applyBorder="1" applyAlignment="1">
      <alignment horizontal="center" vertical="center"/>
    </xf>
    <xf numFmtId="2" fontId="0" fillId="0" borderId="0" xfId="0" applyNumberFormat="1" applyBorder="1" applyAlignment="1">
      <alignment horizontal="center" vertical="center"/>
    </xf>
    <xf numFmtId="2" fontId="0" fillId="0" borderId="10" xfId="0" applyNumberFormat="1" applyBorder="1" applyAlignment="1">
      <alignment horizontal="center" vertical="center"/>
    </xf>
    <xf numFmtId="0" fontId="16" fillId="0" borderId="18" xfId="0" applyFont="1" applyBorder="1" applyAlignment="1">
      <alignment horizontal="center" vertical="center"/>
    </xf>
    <xf numFmtId="0" fontId="16" fillId="0" borderId="22" xfId="0" applyFont="1" applyBorder="1" applyAlignment="1">
      <alignment vertical="center"/>
    </xf>
    <xf numFmtId="0" fontId="91" fillId="0" borderId="24" xfId="0" applyFont="1" applyBorder="1" applyAlignment="1">
      <alignment horizontal="center" vertical="center"/>
    </xf>
    <xf numFmtId="0" fontId="91" fillId="0" borderId="23" xfId="0" applyFont="1" applyBorder="1" applyAlignment="1">
      <alignment horizontal="center" vertical="center"/>
    </xf>
    <xf numFmtId="0" fontId="91" fillId="0" borderId="12" xfId="0" applyFont="1" applyBorder="1" applyAlignment="1">
      <alignment horizontal="center" vertical="center"/>
    </xf>
    <xf numFmtId="0" fontId="62" fillId="0" borderId="22" xfId="0" applyFont="1" applyBorder="1" applyAlignment="1">
      <alignment horizontal="center" vertical="center"/>
    </xf>
    <xf numFmtId="0" fontId="0" fillId="0" borderId="2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6" fillId="0" borderId="21"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6" xfId="0" applyFont="1" applyBorder="1" applyAlignment="1">
      <alignment horizontal="center" vertical="center" wrapText="1"/>
    </xf>
    <xf numFmtId="0" fontId="0" fillId="0" borderId="21"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34" fillId="0" borderId="23" xfId="0" applyFont="1" applyBorder="1" applyAlignment="1">
      <alignment horizontal="center" vertical="center" wrapText="1"/>
    </xf>
    <xf numFmtId="0" fontId="34" fillId="0" borderId="14" xfId="0" applyFont="1" applyBorder="1" applyAlignment="1">
      <alignment horizontal="center" vertical="center" wrapText="1"/>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16" fillId="0" borderId="11" xfId="0" quotePrefix="1" applyFont="1" applyFill="1" applyBorder="1" applyAlignment="1">
      <alignment horizontal="center" vertical="center"/>
    </xf>
    <xf numFmtId="0" fontId="68" fillId="0" borderId="10" xfId="0" applyFont="1" applyBorder="1" applyAlignment="1">
      <alignment horizontal="right"/>
    </xf>
    <xf numFmtId="0" fontId="26" fillId="0" borderId="18" xfId="0" applyFont="1" applyBorder="1" applyAlignment="1" applyProtection="1">
      <alignment horizontal="left" vertical="center"/>
      <protection locked="0"/>
    </xf>
    <xf numFmtId="0" fontId="26" fillId="0" borderId="22" xfId="0" applyFont="1" applyBorder="1" applyAlignment="1" applyProtection="1">
      <alignment horizontal="left" vertical="center"/>
      <protection locked="0"/>
    </xf>
    <xf numFmtId="0" fontId="26" fillId="0" borderId="18" xfId="0" applyFont="1" applyBorder="1" applyAlignment="1" applyProtection="1">
      <alignment horizontal="left" vertical="center" wrapText="1"/>
      <protection locked="0"/>
    </xf>
    <xf numFmtId="0" fontId="36" fillId="0" borderId="24" xfId="0" applyFont="1" applyBorder="1" applyAlignment="1">
      <alignment horizontal="center" vertical="center" wrapText="1"/>
    </xf>
    <xf numFmtId="0" fontId="36" fillId="0" borderId="17" xfId="0" applyFont="1" applyBorder="1" applyAlignment="1">
      <alignment horizontal="center" vertical="center" wrapText="1"/>
    </xf>
    <xf numFmtId="0" fontId="134" fillId="0" borderId="10" xfId="0" applyFont="1" applyBorder="1" applyAlignment="1">
      <alignment horizontal="left"/>
    </xf>
    <xf numFmtId="0" fontId="28" fillId="0" borderId="12" xfId="0" applyFont="1" applyBorder="1" applyAlignment="1">
      <alignment vertical="top" wrapText="1"/>
    </xf>
    <xf numFmtId="0" fontId="71" fillId="0" borderId="10" xfId="0" applyFont="1" applyBorder="1" applyAlignment="1">
      <alignment horizontal="center" vertical="center" shrinkToFit="1"/>
    </xf>
    <xf numFmtId="0" fontId="15" fillId="0" borderId="10" xfId="0" applyFont="1" applyBorder="1" applyAlignment="1">
      <alignment horizontal="center" vertical="center"/>
    </xf>
    <xf numFmtId="0" fontId="74" fillId="0" borderId="0" xfId="0" applyFont="1" applyAlignment="1">
      <alignment horizontal="center" vertical="top"/>
    </xf>
    <xf numFmtId="0" fontId="25" fillId="0" borderId="18" xfId="0" applyFont="1" applyBorder="1" applyAlignment="1">
      <alignment horizontal="center" wrapText="1"/>
    </xf>
    <xf numFmtId="0" fontId="25" fillId="0" borderId="22" xfId="0" applyFont="1" applyBorder="1" applyAlignment="1">
      <alignment horizontal="center" wrapText="1"/>
    </xf>
    <xf numFmtId="0" fontId="34" fillId="0" borderId="19" xfId="0" applyFont="1" applyBorder="1" applyAlignment="1">
      <alignment horizontal="center" vertical="center" wrapText="1"/>
    </xf>
    <xf numFmtId="0" fontId="88" fillId="0" borderId="0" xfId="0" applyFont="1" applyAlignment="1">
      <alignment horizontal="center"/>
    </xf>
  </cellXfs>
  <cellStyles count="215">
    <cellStyle name="20% - Accent1" xfId="1" builtinId="30" customBuiltin="1"/>
    <cellStyle name="20% - Accent1 2" xfId="2"/>
    <cellStyle name="20% - Accent1 3" xfId="3"/>
    <cellStyle name="20% - Accent1 4" xfId="4"/>
    <cellStyle name="20% - Accent1 5" xfId="5"/>
    <cellStyle name="20% - Accent2" xfId="6" builtinId="34" customBuiltin="1"/>
    <cellStyle name="20% - Accent2 2" xfId="7"/>
    <cellStyle name="20% - Accent2 3" xfId="8"/>
    <cellStyle name="20% - Accent2 4" xfId="9"/>
    <cellStyle name="20% - Accent2 5" xfId="10"/>
    <cellStyle name="20% - Accent3" xfId="11" builtinId="38" customBuiltin="1"/>
    <cellStyle name="20% - Accent3 2" xfId="12"/>
    <cellStyle name="20% - Accent3 3" xfId="13"/>
    <cellStyle name="20% - Accent3 4" xfId="14"/>
    <cellStyle name="20% - Accent3 5" xfId="15"/>
    <cellStyle name="20% - Accent4" xfId="16" builtinId="42" customBuiltin="1"/>
    <cellStyle name="20% - Accent4 2" xfId="17"/>
    <cellStyle name="20% - Accent4 3" xfId="18"/>
    <cellStyle name="20% - Accent4 4" xfId="19"/>
    <cellStyle name="20% - Accent4 5" xfId="20"/>
    <cellStyle name="20% - Accent5" xfId="21" builtinId="46" customBuiltin="1"/>
    <cellStyle name="20% - Accent5 2" xfId="22"/>
    <cellStyle name="20% - Accent5 3" xfId="23"/>
    <cellStyle name="20% - Accent5 4" xfId="24"/>
    <cellStyle name="20% - Accent5 5" xfId="25"/>
    <cellStyle name="20% - Accent6" xfId="26" builtinId="50" customBuiltin="1"/>
    <cellStyle name="20% - Accent6 2" xfId="27"/>
    <cellStyle name="20% - Accent6 3" xfId="28"/>
    <cellStyle name="20% - Accent6 4" xfId="29"/>
    <cellStyle name="20% - Accent6 5" xfId="30"/>
    <cellStyle name="40% - Accent1" xfId="31" builtinId="31" customBuiltin="1"/>
    <cellStyle name="40% - Accent1 2" xfId="32"/>
    <cellStyle name="40% - Accent1 3" xfId="33"/>
    <cellStyle name="40% - Accent1 4" xfId="34"/>
    <cellStyle name="40% - Accent1 5" xfId="35"/>
    <cellStyle name="40% - Accent2" xfId="36" builtinId="35" customBuiltin="1"/>
    <cellStyle name="40% - Accent2 2" xfId="37"/>
    <cellStyle name="40% - Accent2 3" xfId="38"/>
    <cellStyle name="40% - Accent2 4" xfId="39"/>
    <cellStyle name="40% - Accent2 5" xfId="40"/>
    <cellStyle name="40% - Accent3" xfId="41" builtinId="39" customBuiltin="1"/>
    <cellStyle name="40% - Accent3 2" xfId="42"/>
    <cellStyle name="40% - Accent3 3" xfId="43"/>
    <cellStyle name="40% - Accent3 4" xfId="44"/>
    <cellStyle name="40% - Accent3 5" xfId="45"/>
    <cellStyle name="40% - Accent4" xfId="46" builtinId="43" customBuiltin="1"/>
    <cellStyle name="40% - Accent4 2" xfId="47"/>
    <cellStyle name="40% - Accent4 3" xfId="48"/>
    <cellStyle name="40% - Accent4 4" xfId="49"/>
    <cellStyle name="40% - Accent4 5" xfId="50"/>
    <cellStyle name="40% - Accent5" xfId="51" builtinId="47" customBuiltin="1"/>
    <cellStyle name="40% - Accent5 2" xfId="52"/>
    <cellStyle name="40% - Accent5 3" xfId="53"/>
    <cellStyle name="40% - Accent5 4" xfId="54"/>
    <cellStyle name="40% - Accent5 5" xfId="55"/>
    <cellStyle name="40% - Accent6" xfId="56" builtinId="51" customBuiltin="1"/>
    <cellStyle name="40% - Accent6 2" xfId="57"/>
    <cellStyle name="40% - Accent6 3" xfId="58"/>
    <cellStyle name="40% - Accent6 4" xfId="59"/>
    <cellStyle name="40% - Accent6 5" xfId="60"/>
    <cellStyle name="60% - Accent1" xfId="61" builtinId="32" customBuiltin="1"/>
    <cellStyle name="60% - Accent1 2" xfId="62"/>
    <cellStyle name="60% - Accent1 3" xfId="63"/>
    <cellStyle name="60% - Accent1 4" xfId="64"/>
    <cellStyle name="60% - Accent1 5" xfId="65"/>
    <cellStyle name="60% - Accent2" xfId="66" builtinId="36" customBuiltin="1"/>
    <cellStyle name="60% - Accent2 2" xfId="67"/>
    <cellStyle name="60% - Accent2 3" xfId="68"/>
    <cellStyle name="60% - Accent2 4" xfId="69"/>
    <cellStyle name="60% - Accent2 5" xfId="70"/>
    <cellStyle name="60% - Accent3" xfId="71" builtinId="40" customBuiltin="1"/>
    <cellStyle name="60% - Accent3 2" xfId="72"/>
    <cellStyle name="60% - Accent3 3" xfId="73"/>
    <cellStyle name="60% - Accent3 4" xfId="74"/>
    <cellStyle name="60% - Accent3 5" xfId="75"/>
    <cellStyle name="60% - Accent4" xfId="76" builtinId="44" customBuiltin="1"/>
    <cellStyle name="60% - Accent4 2" xfId="77"/>
    <cellStyle name="60% - Accent4 3" xfId="78"/>
    <cellStyle name="60% - Accent4 4" xfId="79"/>
    <cellStyle name="60% - Accent4 5" xfId="80"/>
    <cellStyle name="60% - Accent5" xfId="81" builtinId="48" customBuiltin="1"/>
    <cellStyle name="60% - Accent5 2" xfId="82"/>
    <cellStyle name="60% - Accent5 3" xfId="83"/>
    <cellStyle name="60% - Accent5 4" xfId="84"/>
    <cellStyle name="60% - Accent5 5" xfId="85"/>
    <cellStyle name="60% - Accent6" xfId="86" builtinId="52" customBuiltin="1"/>
    <cellStyle name="60% - Accent6 2" xfId="87"/>
    <cellStyle name="60% - Accent6 3" xfId="88"/>
    <cellStyle name="60% - Accent6 4" xfId="89"/>
    <cellStyle name="60% - Accent6 5" xfId="90"/>
    <cellStyle name="Accent1" xfId="91" builtinId="29" customBuiltin="1"/>
    <cellStyle name="Accent1 2" xfId="92"/>
    <cellStyle name="Accent1 3" xfId="93"/>
    <cellStyle name="Accent1 4" xfId="94"/>
    <cellStyle name="Accent1 5" xfId="95"/>
    <cellStyle name="Accent2" xfId="96" builtinId="33" customBuiltin="1"/>
    <cellStyle name="Accent2 2" xfId="97"/>
    <cellStyle name="Accent2 3" xfId="98"/>
    <cellStyle name="Accent2 4" xfId="99"/>
    <cellStyle name="Accent2 5" xfId="100"/>
    <cellStyle name="Accent3" xfId="101" builtinId="37" customBuiltin="1"/>
    <cellStyle name="Accent3 2" xfId="102"/>
    <cellStyle name="Accent3 3" xfId="103"/>
    <cellStyle name="Accent3 4" xfId="104"/>
    <cellStyle name="Accent3 5" xfId="105"/>
    <cellStyle name="Accent4" xfId="106" builtinId="41" customBuiltin="1"/>
    <cellStyle name="Accent4 2" xfId="107"/>
    <cellStyle name="Accent4 3" xfId="108"/>
    <cellStyle name="Accent4 4" xfId="109"/>
    <cellStyle name="Accent4 5" xfId="110"/>
    <cellStyle name="Accent5" xfId="111" builtinId="45" customBuiltin="1"/>
    <cellStyle name="Accent5 2" xfId="112"/>
    <cellStyle name="Accent5 3" xfId="113"/>
    <cellStyle name="Accent5 4" xfId="114"/>
    <cellStyle name="Accent5 5" xfId="115"/>
    <cellStyle name="Accent6" xfId="116" builtinId="49" customBuiltin="1"/>
    <cellStyle name="Accent6 2" xfId="117"/>
    <cellStyle name="Accent6 3" xfId="118"/>
    <cellStyle name="Accent6 4" xfId="119"/>
    <cellStyle name="Accent6 5" xfId="120"/>
    <cellStyle name="Bad" xfId="121" builtinId="27" customBuiltin="1"/>
    <cellStyle name="Bad 2" xfId="122"/>
    <cellStyle name="Bad 3" xfId="123"/>
    <cellStyle name="Bad 4" xfId="124"/>
    <cellStyle name="Bad 5" xfId="125"/>
    <cellStyle name="Calculation" xfId="126" builtinId="22" customBuiltin="1"/>
    <cellStyle name="Calculation 2" xfId="127"/>
    <cellStyle name="Calculation 3" xfId="128"/>
    <cellStyle name="Calculation 4" xfId="129"/>
    <cellStyle name="Calculation 5" xfId="130"/>
    <cellStyle name="Check Cell" xfId="131" builtinId="23" customBuiltin="1"/>
    <cellStyle name="Check Cell 2" xfId="132"/>
    <cellStyle name="Check Cell 3" xfId="133"/>
    <cellStyle name="Check Cell 4" xfId="134"/>
    <cellStyle name="Check Cell 5" xfId="135"/>
    <cellStyle name="Comma" xfId="136" builtinId="3"/>
    <cellStyle name="Comma 2" xfId="137"/>
    <cellStyle name="Comma 3" xfId="138"/>
    <cellStyle name="Comma 4" xfId="139"/>
    <cellStyle name="Explanatory Text" xfId="140" builtinId="53" customBuiltin="1"/>
    <cellStyle name="Explanatory Text 2" xfId="141"/>
    <cellStyle name="Explanatory Text 3" xfId="142"/>
    <cellStyle name="Explanatory Text 4" xfId="143"/>
    <cellStyle name="Explanatory Text 5" xfId="144"/>
    <cellStyle name="Good" xfId="145" builtinId="26" customBuiltin="1"/>
    <cellStyle name="Good 2" xfId="146"/>
    <cellStyle name="Good 3" xfId="147"/>
    <cellStyle name="Good 4" xfId="148"/>
    <cellStyle name="Good 5" xfId="149"/>
    <cellStyle name="Heading 1" xfId="150" builtinId="16" customBuiltin="1"/>
    <cellStyle name="Heading 1 2" xfId="151"/>
    <cellStyle name="Heading 1 3" xfId="152"/>
    <cellStyle name="Heading 1 4" xfId="153"/>
    <cellStyle name="Heading 1 5" xfId="154"/>
    <cellStyle name="Heading 2" xfId="155" builtinId="17" customBuiltin="1"/>
    <cellStyle name="Heading 2 2" xfId="156"/>
    <cellStyle name="Heading 2 3" xfId="157"/>
    <cellStyle name="Heading 2 4" xfId="158"/>
    <cellStyle name="Heading 2 5" xfId="159"/>
    <cellStyle name="Heading 3" xfId="160" builtinId="18" customBuiltin="1"/>
    <cellStyle name="Heading 3 2" xfId="161"/>
    <cellStyle name="Heading 3 3" xfId="162"/>
    <cellStyle name="Heading 3 4" xfId="163"/>
    <cellStyle name="Heading 3 5" xfId="164"/>
    <cellStyle name="Heading 4" xfId="165" builtinId="19" customBuiltin="1"/>
    <cellStyle name="Heading 4 2" xfId="166"/>
    <cellStyle name="Heading 4 3" xfId="167"/>
    <cellStyle name="Heading 4 4" xfId="168"/>
    <cellStyle name="Heading 4 5" xfId="169"/>
    <cellStyle name="Hyperlink" xfId="170" builtinId="8"/>
    <cellStyle name="Input" xfId="171" builtinId="20" customBuiltin="1"/>
    <cellStyle name="Input 2" xfId="172"/>
    <cellStyle name="Input 3" xfId="173"/>
    <cellStyle name="Input 4" xfId="174"/>
    <cellStyle name="Input 5" xfId="175"/>
    <cellStyle name="Linked Cell" xfId="176" builtinId="24" customBuiltin="1"/>
    <cellStyle name="Linked Cell 2" xfId="177"/>
    <cellStyle name="Linked Cell 3" xfId="178"/>
    <cellStyle name="Linked Cell 4" xfId="179"/>
    <cellStyle name="Linked Cell 5" xfId="180"/>
    <cellStyle name="Neutral" xfId="181" builtinId="28" customBuiltin="1"/>
    <cellStyle name="Neutral 2" xfId="182"/>
    <cellStyle name="Neutral 3" xfId="183"/>
    <cellStyle name="Neutral 4" xfId="184"/>
    <cellStyle name="Neutral 5" xfId="185"/>
    <cellStyle name="Normal" xfId="0" builtinId="0"/>
    <cellStyle name="Normal 2" xfId="186"/>
    <cellStyle name="Normal 3" xfId="187"/>
    <cellStyle name="Normal 4" xfId="188"/>
    <cellStyle name="Normal 5" xfId="189"/>
    <cellStyle name="Note" xfId="190" builtinId="10" customBuiltin="1"/>
    <cellStyle name="Note 2" xfId="191"/>
    <cellStyle name="Note 3" xfId="192"/>
    <cellStyle name="Note 4" xfId="193"/>
    <cellStyle name="Note 5" xfId="194"/>
    <cellStyle name="Output" xfId="195" builtinId="21" customBuiltin="1"/>
    <cellStyle name="Output 2" xfId="196"/>
    <cellStyle name="Output 3" xfId="197"/>
    <cellStyle name="Output 4" xfId="198"/>
    <cellStyle name="Output 5" xfId="199"/>
    <cellStyle name="Title" xfId="200" builtinId="15" customBuiltin="1"/>
    <cellStyle name="Title 2" xfId="201"/>
    <cellStyle name="Title 3" xfId="202"/>
    <cellStyle name="Title 4" xfId="203"/>
    <cellStyle name="Title 5" xfId="204"/>
    <cellStyle name="Total" xfId="205" builtinId="25" customBuiltin="1"/>
    <cellStyle name="Total 2" xfId="206"/>
    <cellStyle name="Total 3" xfId="207"/>
    <cellStyle name="Total 4" xfId="208"/>
    <cellStyle name="Total 5" xfId="209"/>
    <cellStyle name="Warning Text" xfId="210" builtinId="11" customBuiltin="1"/>
    <cellStyle name="Warning Text 2" xfId="211"/>
    <cellStyle name="Warning Text 3" xfId="212"/>
    <cellStyle name="Warning Text 4" xfId="213"/>
    <cellStyle name="Warning Text 5" xfId="214"/>
  </cellStyles>
  <dxfs count="15">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142875</xdr:rowOff>
    </xdr:from>
    <xdr:to>
      <xdr:col>9</xdr:col>
      <xdr:colOff>571500</xdr:colOff>
      <xdr:row>32</xdr:row>
      <xdr:rowOff>0</xdr:rowOff>
    </xdr:to>
    <xdr:sp macro="" textlink="">
      <xdr:nvSpPr>
        <xdr:cNvPr id="4099" name="WordArt 3"/>
        <xdr:cNvSpPr>
          <a:spLocks noChangeArrowheads="1" noChangeShapeType="1"/>
        </xdr:cNvSpPr>
      </xdr:nvSpPr>
      <xdr:spPr bwMode="auto">
        <a:xfrm>
          <a:off x="0" y="952500"/>
          <a:ext cx="6057900" cy="4229100"/>
        </a:xfrm>
        <a:prstGeom prst="rect">
          <a:avLst/>
        </a:prstGeom>
      </xdr:spPr>
      <xdr:txBody>
        <a:bodyPr wrap="none" fromWordArt="1">
          <a:prstTxWarp prst="textArchUp">
            <a:avLst>
              <a:gd name="adj" fmla="val 12253358"/>
            </a:avLst>
          </a:prstTxWarp>
        </a:bodyPr>
        <a:lstStyle/>
        <a:p>
          <a:pPr algn="ctr" rtl="0"/>
          <a:r>
            <a:rPr lang="en-IN" sz="3600" kern="10" spc="0">
              <a:ln w="9525">
                <a:solidFill>
                  <a:srgbClr val="993366"/>
                </a:solidFill>
                <a:round/>
                <a:headEnd/>
                <a:tailEnd/>
              </a:ln>
              <a:solidFill>
                <a:srgbClr val="993366"/>
              </a:solidFill>
              <a:effectLst/>
              <a:latin typeface="Arial"/>
              <a:cs typeface="Arial"/>
            </a:rPr>
            <a:t>District Statistical Handbook</a:t>
          </a:r>
        </a:p>
      </xdr:txBody>
    </xdr:sp>
    <xdr:clientData/>
  </xdr:twoCellAnchor>
  <xdr:twoCellAnchor>
    <xdr:from>
      <xdr:col>2</xdr:col>
      <xdr:colOff>180975</xdr:colOff>
      <xdr:row>10</xdr:row>
      <xdr:rowOff>9525</xdr:rowOff>
    </xdr:from>
    <xdr:to>
      <xdr:col>7</xdr:col>
      <xdr:colOff>457200</xdr:colOff>
      <xdr:row>13</xdr:row>
      <xdr:rowOff>9525</xdr:rowOff>
    </xdr:to>
    <xdr:sp macro="" textlink="">
      <xdr:nvSpPr>
        <xdr:cNvPr id="4104" name="WordArt 8"/>
        <xdr:cNvSpPr>
          <a:spLocks noChangeArrowheads="1" noChangeShapeType="1" noTextEdit="1"/>
        </xdr:cNvSpPr>
      </xdr:nvSpPr>
      <xdr:spPr bwMode="auto">
        <a:xfrm>
          <a:off x="1400175" y="1628775"/>
          <a:ext cx="3324225" cy="485775"/>
        </a:xfrm>
        <a:prstGeom prst="rect">
          <a:avLst/>
        </a:prstGeom>
      </xdr:spPr>
      <xdr:txBody>
        <a:bodyPr wrap="none" fromWordArt="1">
          <a:prstTxWarp prst="textPlain">
            <a:avLst>
              <a:gd name="adj" fmla="val 50000"/>
            </a:avLst>
          </a:prstTxWarp>
        </a:bodyPr>
        <a:lstStyle/>
        <a:p>
          <a:pPr algn="ctr" rtl="0"/>
          <a:r>
            <a:rPr lang="en-IN" sz="2800" kern="10" spc="0">
              <a:ln w="9525">
                <a:noFill/>
                <a:round/>
                <a:headEnd/>
                <a:tailEnd/>
              </a:ln>
              <a:solidFill>
                <a:srgbClr val="008000"/>
              </a:solidFill>
              <a:effectLst>
                <a:outerShdw dist="45791" dir="2021404" algn="ctr" rotWithShape="0">
                  <a:srgbClr val="C0C0C0"/>
                </a:outerShdw>
              </a:effectLst>
              <a:latin typeface="Times New Roman"/>
              <a:cs typeface="Times New Roman"/>
            </a:rPr>
            <a:t>JALPAIGURI</a:t>
          </a:r>
        </a:p>
      </xdr:txBody>
    </xdr:sp>
    <xdr:clientData/>
  </xdr:twoCellAnchor>
  <xdr:twoCellAnchor editAs="oneCell">
    <xdr:from>
      <xdr:col>0</xdr:col>
      <xdr:colOff>19050</xdr:colOff>
      <xdr:row>17</xdr:row>
      <xdr:rowOff>123825</xdr:rowOff>
    </xdr:from>
    <xdr:to>
      <xdr:col>9</xdr:col>
      <xdr:colOff>581025</xdr:colOff>
      <xdr:row>49</xdr:row>
      <xdr:rowOff>0</xdr:rowOff>
    </xdr:to>
    <xdr:pic>
      <xdr:nvPicPr>
        <xdr:cNvPr id="4618" name="Picture 10" descr="jalpaiguri"/>
        <xdr:cNvPicPr>
          <a:picLocks noChangeAspect="1" noChangeArrowheads="1"/>
        </xdr:cNvPicPr>
      </xdr:nvPicPr>
      <xdr:blipFill>
        <a:blip xmlns:r="http://schemas.openxmlformats.org/officeDocument/2006/relationships" r:embed="rId1"/>
        <a:srcRect/>
        <a:stretch>
          <a:fillRect/>
        </a:stretch>
      </xdr:blipFill>
      <xdr:spPr bwMode="auto">
        <a:xfrm>
          <a:off x="19050" y="2876550"/>
          <a:ext cx="6048375" cy="5248275"/>
        </a:xfrm>
        <a:prstGeom prst="rect">
          <a:avLst/>
        </a:prstGeom>
        <a:noFill/>
        <a:ln w="9525">
          <a:noFill/>
          <a:miter lim="800000"/>
          <a:headEnd/>
          <a:tailEnd/>
        </a:ln>
      </xdr:spPr>
    </xdr:pic>
    <xdr:clientData/>
  </xdr:twoCellAnchor>
  <xdr:twoCellAnchor>
    <xdr:from>
      <xdr:col>3</xdr:col>
      <xdr:colOff>209550</xdr:colOff>
      <xdr:row>14</xdr:row>
      <xdr:rowOff>95250</xdr:rowOff>
    </xdr:from>
    <xdr:to>
      <xdr:col>6</xdr:col>
      <xdr:colOff>466725</xdr:colOff>
      <xdr:row>16</xdr:row>
      <xdr:rowOff>66675</xdr:rowOff>
    </xdr:to>
    <xdr:sp macro="" textlink="">
      <xdr:nvSpPr>
        <xdr:cNvPr id="4621" name="WordArt 11" descr="White marble"/>
        <xdr:cNvSpPr>
          <a:spLocks noChangeArrowheads="1" noChangeShapeType="1"/>
        </xdr:cNvSpPr>
      </xdr:nvSpPr>
      <xdr:spPr bwMode="auto">
        <a:xfrm>
          <a:off x="2038350" y="2362200"/>
          <a:ext cx="2085975" cy="295275"/>
        </a:xfrm>
        <a:prstGeom prst="rect">
          <a:avLst/>
        </a:prstGeom>
      </xdr:spPr>
      <xdr:txBody>
        <a:bodyPr vertOverflow="clip" wrap="none" lIns="91440" tIns="45720" rIns="91440" bIns="45720" fromWordArt="1" anchor="t" upright="1">
          <a:prstTxWarp prst="textPlain">
            <a:avLst>
              <a:gd name="adj" fmla="val 50000"/>
            </a:avLst>
          </a:prstTxWarp>
          <a:scene3d>
            <a:camera prst="legacyObliqueRight"/>
            <a:lightRig rig="legacyHarsh3" dir="t"/>
          </a:scene3d>
          <a:sp3d extrusionH="100000" prstMaterial="legacyMatte">
            <a:extrusionClr>
              <a:srgbClr val="663300"/>
            </a:extrusionClr>
          </a:sp3d>
        </a:bodyPr>
        <a:lstStyle/>
        <a:p>
          <a:pPr algn="ctr" rtl="0"/>
          <a:r>
            <a:rPr lang="en-US" sz="2800" u="none" strike="noStrike" kern="10" cap="small" spc="0" baseline="0">
              <a:ln w="9525">
                <a:round/>
                <a:headEnd/>
                <a:tailEnd/>
              </a:ln>
              <a:blipFill dpi="0" rotWithShape="0">
                <a:blip xmlns:r="http://schemas.openxmlformats.org/officeDocument/2006/relationships" r:embed="rId2"/>
                <a:srcRect/>
                <a:tile tx="0" ty="0" sx="100000" sy="100000" flip="none" algn="tl"/>
              </a:blipFill>
              <a:latin typeface="Garamond"/>
            </a:rPr>
            <a:t>2014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885825</xdr:colOff>
      <xdr:row>8</xdr:row>
      <xdr:rowOff>57150</xdr:rowOff>
    </xdr:from>
    <xdr:to>
      <xdr:col>1</xdr:col>
      <xdr:colOff>923925</xdr:colOff>
      <xdr:row>9</xdr:row>
      <xdr:rowOff>0</xdr:rowOff>
    </xdr:to>
    <xdr:sp macro="" textlink="">
      <xdr:nvSpPr>
        <xdr:cNvPr id="17277" name="AutoShape 1"/>
        <xdr:cNvSpPr>
          <a:spLocks/>
        </xdr:cNvSpPr>
      </xdr:nvSpPr>
      <xdr:spPr bwMode="auto">
        <a:xfrm>
          <a:off x="1819275" y="1533525"/>
          <a:ext cx="38100" cy="276225"/>
        </a:xfrm>
        <a:prstGeom prst="rightBrace">
          <a:avLst>
            <a:gd name="adj1" fmla="val 60417"/>
            <a:gd name="adj2" fmla="val 50000"/>
          </a:avLst>
        </a:prstGeom>
        <a:noFill/>
        <a:ln w="9525">
          <a:solidFill>
            <a:srgbClr val="000000"/>
          </a:solidFill>
          <a:round/>
          <a:headEnd/>
          <a:tailEnd/>
        </a:ln>
      </xdr:spPr>
    </xdr:sp>
    <xdr:clientData/>
  </xdr:twoCellAnchor>
  <xdr:twoCellAnchor>
    <xdr:from>
      <xdr:col>1</xdr:col>
      <xdr:colOff>885825</xdr:colOff>
      <xdr:row>9</xdr:row>
      <xdr:rowOff>57150</xdr:rowOff>
    </xdr:from>
    <xdr:to>
      <xdr:col>1</xdr:col>
      <xdr:colOff>942975</xdr:colOff>
      <xdr:row>10</xdr:row>
      <xdr:rowOff>190500</xdr:rowOff>
    </xdr:to>
    <xdr:sp macro="" textlink="">
      <xdr:nvSpPr>
        <xdr:cNvPr id="17278" name="AutoShape 2"/>
        <xdr:cNvSpPr>
          <a:spLocks/>
        </xdr:cNvSpPr>
      </xdr:nvSpPr>
      <xdr:spPr bwMode="auto">
        <a:xfrm>
          <a:off x="1819275" y="1866900"/>
          <a:ext cx="57150" cy="342900"/>
        </a:xfrm>
        <a:prstGeom prst="leftBrace">
          <a:avLst>
            <a:gd name="adj1" fmla="val 50000"/>
            <a:gd name="adj2" fmla="val 50000"/>
          </a:avLst>
        </a:prstGeom>
        <a:noFill/>
        <a:ln w="9525">
          <a:solidFill>
            <a:srgbClr val="000000"/>
          </a:solidFill>
          <a:round/>
          <a:headEnd/>
          <a:tailEnd/>
        </a:ln>
      </xdr:spPr>
    </xdr:sp>
    <xdr:clientData/>
  </xdr:twoCellAnchor>
  <xdr:twoCellAnchor>
    <xdr:from>
      <xdr:col>1</xdr:col>
      <xdr:colOff>914400</xdr:colOff>
      <xdr:row>24</xdr:row>
      <xdr:rowOff>38100</xdr:rowOff>
    </xdr:from>
    <xdr:to>
      <xdr:col>1</xdr:col>
      <xdr:colOff>962025</xdr:colOff>
      <xdr:row>24</xdr:row>
      <xdr:rowOff>323850</xdr:rowOff>
    </xdr:to>
    <xdr:sp macro="" textlink="">
      <xdr:nvSpPr>
        <xdr:cNvPr id="17279" name="AutoShape 6"/>
        <xdr:cNvSpPr>
          <a:spLocks/>
        </xdr:cNvSpPr>
      </xdr:nvSpPr>
      <xdr:spPr bwMode="auto">
        <a:xfrm>
          <a:off x="1847850" y="5114925"/>
          <a:ext cx="47625" cy="285750"/>
        </a:xfrm>
        <a:prstGeom prst="rightBrace">
          <a:avLst>
            <a:gd name="adj1" fmla="val 50000"/>
            <a:gd name="adj2" fmla="val 50000"/>
          </a:avLst>
        </a:prstGeom>
        <a:noFill/>
        <a:ln w="9525">
          <a:solidFill>
            <a:srgbClr val="000000"/>
          </a:solidFill>
          <a:round/>
          <a:headEnd/>
          <a:tailEnd/>
        </a:ln>
      </xdr:spPr>
    </xdr:sp>
    <xdr:clientData/>
  </xdr:twoCellAnchor>
  <xdr:twoCellAnchor>
    <xdr:from>
      <xdr:col>1</xdr:col>
      <xdr:colOff>914400</xdr:colOff>
      <xdr:row>25</xdr:row>
      <xdr:rowOff>38100</xdr:rowOff>
    </xdr:from>
    <xdr:to>
      <xdr:col>1</xdr:col>
      <xdr:colOff>962025</xdr:colOff>
      <xdr:row>25</xdr:row>
      <xdr:rowOff>314325</xdr:rowOff>
    </xdr:to>
    <xdr:sp macro="" textlink="">
      <xdr:nvSpPr>
        <xdr:cNvPr id="17280" name="AutoShape 7"/>
        <xdr:cNvSpPr>
          <a:spLocks/>
        </xdr:cNvSpPr>
      </xdr:nvSpPr>
      <xdr:spPr bwMode="auto">
        <a:xfrm>
          <a:off x="1847850" y="5476875"/>
          <a:ext cx="47625" cy="276225"/>
        </a:xfrm>
        <a:prstGeom prst="rightBrace">
          <a:avLst>
            <a:gd name="adj1" fmla="val 48333"/>
            <a:gd name="adj2" fmla="val 50000"/>
          </a:avLst>
        </a:prstGeom>
        <a:noFill/>
        <a:ln w="9525">
          <a:solidFill>
            <a:srgbClr val="000000"/>
          </a:solidFill>
          <a:round/>
          <a:headEnd/>
          <a:tailEnd/>
        </a:ln>
      </xdr:spPr>
    </xdr:sp>
    <xdr:clientData/>
  </xdr:twoCellAnchor>
  <xdr:twoCellAnchor>
    <xdr:from>
      <xdr:col>1</xdr:col>
      <xdr:colOff>895350</xdr:colOff>
      <xdr:row>26</xdr:row>
      <xdr:rowOff>47625</xdr:rowOff>
    </xdr:from>
    <xdr:to>
      <xdr:col>1</xdr:col>
      <xdr:colOff>971550</xdr:colOff>
      <xdr:row>27</xdr:row>
      <xdr:rowOff>219075</xdr:rowOff>
    </xdr:to>
    <xdr:sp macro="" textlink="">
      <xdr:nvSpPr>
        <xdr:cNvPr id="17281" name="AutoShape 8"/>
        <xdr:cNvSpPr>
          <a:spLocks/>
        </xdr:cNvSpPr>
      </xdr:nvSpPr>
      <xdr:spPr bwMode="auto">
        <a:xfrm>
          <a:off x="1828800" y="5829300"/>
          <a:ext cx="66675" cy="371475"/>
        </a:xfrm>
        <a:prstGeom prst="leftBrace">
          <a:avLst>
            <a:gd name="adj1" fmla="val 46429"/>
            <a:gd name="adj2" fmla="val 50000"/>
          </a:avLst>
        </a:prstGeom>
        <a:noFill/>
        <a:ln w="9525">
          <a:solidFill>
            <a:srgbClr val="000000"/>
          </a:solidFill>
          <a:round/>
          <a:headEnd/>
          <a:tailEnd/>
        </a:ln>
      </xdr:spPr>
    </xdr:sp>
    <xdr:clientData/>
  </xdr:twoCellAnchor>
  <xdr:twoCellAnchor>
    <xdr:from>
      <xdr:col>1</xdr:col>
      <xdr:colOff>885825</xdr:colOff>
      <xdr:row>12</xdr:row>
      <xdr:rowOff>66675</xdr:rowOff>
    </xdr:from>
    <xdr:to>
      <xdr:col>1</xdr:col>
      <xdr:colOff>923925</xdr:colOff>
      <xdr:row>13</xdr:row>
      <xdr:rowOff>114300</xdr:rowOff>
    </xdr:to>
    <xdr:sp macro="" textlink="">
      <xdr:nvSpPr>
        <xdr:cNvPr id="17282" name="AutoShape 9"/>
        <xdr:cNvSpPr>
          <a:spLocks/>
        </xdr:cNvSpPr>
      </xdr:nvSpPr>
      <xdr:spPr bwMode="auto">
        <a:xfrm>
          <a:off x="1819275" y="2505075"/>
          <a:ext cx="38100" cy="257175"/>
        </a:xfrm>
        <a:prstGeom prst="rightBrace">
          <a:avLst>
            <a:gd name="adj1" fmla="val 56250"/>
            <a:gd name="adj2" fmla="val 50000"/>
          </a:avLst>
        </a:prstGeom>
        <a:noFill/>
        <a:ln w="9525">
          <a:solidFill>
            <a:srgbClr val="000000"/>
          </a:solidFill>
          <a:round/>
          <a:headEnd/>
          <a:tailEnd/>
        </a:ln>
      </xdr:spPr>
    </xdr:sp>
    <xdr:clientData/>
  </xdr:twoCellAnchor>
  <xdr:twoCellAnchor>
    <xdr:from>
      <xdr:col>1</xdr:col>
      <xdr:colOff>885825</xdr:colOff>
      <xdr:row>20</xdr:row>
      <xdr:rowOff>28575</xdr:rowOff>
    </xdr:from>
    <xdr:to>
      <xdr:col>1</xdr:col>
      <xdr:colOff>923925</xdr:colOff>
      <xdr:row>21</xdr:row>
      <xdr:rowOff>9525</xdr:rowOff>
    </xdr:to>
    <xdr:sp macro="" textlink="">
      <xdr:nvSpPr>
        <xdr:cNvPr id="17283" name="AutoShape 10"/>
        <xdr:cNvSpPr>
          <a:spLocks/>
        </xdr:cNvSpPr>
      </xdr:nvSpPr>
      <xdr:spPr bwMode="auto">
        <a:xfrm>
          <a:off x="1819275" y="4143375"/>
          <a:ext cx="38100" cy="314325"/>
        </a:xfrm>
        <a:prstGeom prst="rightBrace">
          <a:avLst>
            <a:gd name="adj1" fmla="val 68750"/>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9</xdr:row>
      <xdr:rowOff>9525</xdr:rowOff>
    </xdr:from>
    <xdr:to>
      <xdr:col>2</xdr:col>
      <xdr:colOff>104775</xdr:colOff>
      <xdr:row>10</xdr:row>
      <xdr:rowOff>180975</xdr:rowOff>
    </xdr:to>
    <xdr:sp macro="" textlink="">
      <xdr:nvSpPr>
        <xdr:cNvPr id="38143" name="AutoShape 1"/>
        <xdr:cNvSpPr>
          <a:spLocks/>
        </xdr:cNvSpPr>
      </xdr:nvSpPr>
      <xdr:spPr bwMode="auto">
        <a:xfrm>
          <a:off x="1438275" y="2095500"/>
          <a:ext cx="85725" cy="361950"/>
        </a:xfrm>
        <a:prstGeom prst="rightBrace">
          <a:avLst>
            <a:gd name="adj1" fmla="val 35185"/>
            <a:gd name="adj2" fmla="val 50000"/>
          </a:avLst>
        </a:prstGeom>
        <a:noFill/>
        <a:ln w="9525">
          <a:solidFill>
            <a:srgbClr val="000000"/>
          </a:solidFill>
          <a:round/>
          <a:headEnd/>
          <a:tailEnd/>
        </a:ln>
      </xdr:spPr>
    </xdr:sp>
    <xdr:clientData/>
  </xdr:twoCellAnchor>
  <xdr:twoCellAnchor>
    <xdr:from>
      <xdr:col>6</xdr:col>
      <xdr:colOff>19050</xdr:colOff>
      <xdr:row>9</xdr:row>
      <xdr:rowOff>9525</xdr:rowOff>
    </xdr:from>
    <xdr:to>
      <xdr:col>6</xdr:col>
      <xdr:colOff>104775</xdr:colOff>
      <xdr:row>10</xdr:row>
      <xdr:rowOff>180975</xdr:rowOff>
    </xdr:to>
    <xdr:sp macro="" textlink="">
      <xdr:nvSpPr>
        <xdr:cNvPr id="38144" name="AutoShape 2"/>
        <xdr:cNvSpPr>
          <a:spLocks/>
        </xdr:cNvSpPr>
      </xdr:nvSpPr>
      <xdr:spPr bwMode="auto">
        <a:xfrm>
          <a:off x="3705225" y="2095500"/>
          <a:ext cx="85725" cy="361950"/>
        </a:xfrm>
        <a:prstGeom prst="rightBrace">
          <a:avLst>
            <a:gd name="adj1" fmla="val 35185"/>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4</xdr:row>
      <xdr:rowOff>104775</xdr:rowOff>
    </xdr:from>
    <xdr:to>
      <xdr:col>8</xdr:col>
      <xdr:colOff>409575</xdr:colOff>
      <xdr:row>53</xdr:row>
      <xdr:rowOff>19050</xdr:rowOff>
    </xdr:to>
    <xdr:sp macro="" textlink="">
      <xdr:nvSpPr>
        <xdr:cNvPr id="35842" name="Homepage"/>
        <xdr:cNvSpPr>
          <a:spLocks noEditPoints="1" noChangeArrowheads="1"/>
        </xdr:cNvSpPr>
      </xdr:nvSpPr>
      <xdr:spPr bwMode="auto">
        <a:xfrm flipH="1">
          <a:off x="85725" y="752475"/>
          <a:ext cx="5200650" cy="784860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val="D8EBB3"/>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ctr" rtl="1">
            <a:defRPr sz="1000"/>
          </a:pPr>
          <a:r>
            <a:rPr lang="en-US" sz="3500" b="0" i="0" strike="noStrike">
              <a:solidFill>
                <a:srgbClr val="000000"/>
              </a:solidFill>
              <a:latin typeface="Times New Roman"/>
              <a:cs typeface="Times New Roman"/>
            </a:rPr>
            <a:t>BLOCK LEVEL </a:t>
          </a:r>
        </a:p>
        <a:p>
          <a:pPr algn="ctr" rtl="1">
            <a:defRPr sz="1000"/>
          </a:pPr>
          <a:r>
            <a:rPr lang="en-US" sz="3500" b="0" i="0" strike="noStrike">
              <a:solidFill>
                <a:srgbClr val="000000"/>
              </a:solidFill>
              <a:latin typeface="Times New Roman"/>
              <a:cs typeface="Times New Roman"/>
            </a:rPr>
            <a:t>STATISTICS</a:t>
          </a:r>
          <a:r>
            <a:rPr lang="en-US" sz="4000" b="0" i="0" strike="noStrike">
              <a:solidFill>
                <a:srgbClr val="000000"/>
              </a:solidFill>
              <a:latin typeface="Times New Roman"/>
              <a:cs typeface="Times New Roman"/>
            </a:rPr>
            <a:t> </a:t>
          </a:r>
        </a:p>
        <a:p>
          <a:pPr algn="ctr" rtl="1">
            <a:defRPr sz="1000"/>
          </a:pPr>
          <a:r>
            <a:rPr lang="en-US" sz="3500" b="1" i="0" strike="noStrike">
              <a:solidFill>
                <a:srgbClr val="000000"/>
              </a:solidFill>
              <a:latin typeface="Rockwell"/>
            </a:rPr>
            <a:t>2013-14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xdr:colOff>
      <xdr:row>28</xdr:row>
      <xdr:rowOff>38100</xdr:rowOff>
    </xdr:from>
    <xdr:to>
      <xdr:col>2</xdr:col>
      <xdr:colOff>95250</xdr:colOff>
      <xdr:row>29</xdr:row>
      <xdr:rowOff>161925</xdr:rowOff>
    </xdr:to>
    <xdr:sp macro="" textlink="">
      <xdr:nvSpPr>
        <xdr:cNvPr id="34944" name="AutoShape 1"/>
        <xdr:cNvSpPr>
          <a:spLocks/>
        </xdr:cNvSpPr>
      </xdr:nvSpPr>
      <xdr:spPr bwMode="auto">
        <a:xfrm>
          <a:off x="933450" y="5743575"/>
          <a:ext cx="76200" cy="304800"/>
        </a:xfrm>
        <a:prstGeom prst="rightBrace">
          <a:avLst>
            <a:gd name="adj1" fmla="val 33333"/>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ANDBOOK_2009_NBO1/PURULIA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URULIA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
      <sheetName val="Cover Page"/>
      <sheetName val="PREFACE"/>
      <sheetName val="Contents"/>
      <sheetName val="At a glance"/>
      <sheetName val="1.1,1.2"/>
      <sheetName val="1.3,1.4"/>
      <sheetName val="2.1"/>
      <sheetName val="2.1a,2.1b"/>
      <sheetName val="2.2"/>
      <sheetName val="2.3"/>
      <sheetName val="2.4a"/>
      <sheetName val="2.4b"/>
      <sheetName val="2.5a"/>
      <sheetName val="2.5b"/>
      <sheetName val="2.6"/>
      <sheetName val="2.7"/>
      <sheetName val="2.8"/>
      <sheetName val="2.9,2.10"/>
      <sheetName val="2.10a"/>
      <sheetName val="2.11"/>
      <sheetName val="3.1"/>
      <sheetName val="3.2"/>
      <sheetName val="3.2a"/>
      <sheetName val="3.3"/>
      <sheetName val="3.3a"/>
      <sheetName val="4.1a"/>
      <sheetName val="4.1b"/>
      <sheetName val="4.1c"/>
      <sheetName val="4.2a"/>
      <sheetName val="4.2b"/>
      <sheetName val="4.2c"/>
      <sheetName val="4.3a"/>
      <sheetName val="4.3b"/>
      <sheetName val="4.3c"/>
      <sheetName val="4.4"/>
      <sheetName val="4.5"/>
      <sheetName val="4.6"/>
      <sheetName val="4.7,4.8"/>
      <sheetName val="5.1"/>
      <sheetName val="5.1a,5.1b"/>
      <sheetName val="5.2"/>
      <sheetName val="5.3"/>
      <sheetName val="5.3a"/>
      <sheetName val="5.3b,5.3c"/>
      <sheetName val="5.3d"/>
      <sheetName val="5.4"/>
      <sheetName val="5.5,5.5a"/>
      <sheetName val="5.6,5.7,5.8"/>
      <sheetName val="6.1"/>
      <sheetName val="6.2"/>
      <sheetName val="7.1"/>
      <sheetName val="7.2,7.3"/>
      <sheetName val="8.1,8.2"/>
      <sheetName val="8.2a,8.3"/>
      <sheetName val="8.4,8.4a"/>
      <sheetName val="9.1"/>
      <sheetName val="9.2,9.2a,9.2b"/>
      <sheetName val="10.1,10.2"/>
      <sheetName val="10.3"/>
      <sheetName val="11.1"/>
      <sheetName val="11.1a,11.2"/>
      <sheetName val="11.3,11.4"/>
      <sheetName val="12.1,12.2"/>
      <sheetName val="12.3,12.4"/>
      <sheetName val="12.5,12.6,12.7"/>
      <sheetName val="13.1"/>
      <sheetName val="13.2,13.3"/>
      <sheetName val="14.1,14.2"/>
      <sheetName val="15.1"/>
      <sheetName val="15.2"/>
      <sheetName val="Block_Level"/>
      <sheetName val="16.1"/>
      <sheetName val="17.1"/>
      <sheetName val="17.2"/>
      <sheetName val="18.1"/>
      <sheetName val="18.2"/>
      <sheetName val="18.3"/>
      <sheetName val="19.1"/>
      <sheetName val="20.1"/>
      <sheetName val="20.2"/>
      <sheetName val="21.1"/>
      <sheetName val="21.2"/>
      <sheetName val="Check(Pop)"/>
      <sheetName val="Check(Agri.Lab)"/>
      <sheetName val="Check(Block)"/>
      <sheetName val="Distri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
      <sheetName val="Cover Page"/>
      <sheetName val="PREFACE"/>
      <sheetName val="Contents"/>
      <sheetName val="At a glance"/>
      <sheetName val="1.1,1.2"/>
      <sheetName val="1.3,1.4"/>
      <sheetName val="2.1"/>
      <sheetName val="2.1a,2.1b"/>
      <sheetName val="2.2"/>
      <sheetName val="2.3"/>
      <sheetName val="2.4a"/>
      <sheetName val="2.4b"/>
      <sheetName val="2.5a"/>
      <sheetName val="2.5b"/>
      <sheetName val="2.6"/>
      <sheetName val="2.7"/>
      <sheetName val="2.8"/>
      <sheetName val="2.9,2.10"/>
      <sheetName val="2.10a"/>
      <sheetName val="2.11"/>
      <sheetName val="3.1"/>
      <sheetName val="3.2"/>
      <sheetName val="3.2a"/>
      <sheetName val="3.3"/>
      <sheetName val="3.3a"/>
      <sheetName val="4.1a"/>
      <sheetName val="4.1b"/>
      <sheetName val="4.1c"/>
      <sheetName val="4.2a"/>
      <sheetName val="4.2b"/>
      <sheetName val="4.2c"/>
      <sheetName val="4.3a"/>
      <sheetName val="4.3b"/>
      <sheetName val="4.3c"/>
      <sheetName val="4.4"/>
      <sheetName val="4.5"/>
      <sheetName val="4.6"/>
      <sheetName val="4.7,4.8"/>
      <sheetName val="5.1"/>
      <sheetName val="5.1a,5.1b"/>
      <sheetName val="5.2"/>
      <sheetName val="5.3"/>
      <sheetName val="5.3a"/>
      <sheetName val="5.3b,5.3c"/>
      <sheetName val="5.3d"/>
      <sheetName val="5.4"/>
      <sheetName val="5.5,5.5a"/>
      <sheetName val="5.6,5.7,5.8"/>
      <sheetName val="6.1"/>
      <sheetName val="6.2"/>
      <sheetName val="7.1"/>
      <sheetName val="7.2,7.3"/>
      <sheetName val="8.1,8.2"/>
      <sheetName val="8.2a,8.3"/>
      <sheetName val="8.4,8.4a"/>
      <sheetName val="9.1"/>
      <sheetName val="9.2,9.2a,9.2b"/>
      <sheetName val="10.1,10.2"/>
      <sheetName val="10.3"/>
      <sheetName val="11.1"/>
      <sheetName val="11.1a,11.2"/>
      <sheetName val="11.3,11.4"/>
      <sheetName val="12.1,12.2"/>
      <sheetName val="12.3,12.4"/>
      <sheetName val="12.5,12.6,12.7"/>
      <sheetName val="13.1"/>
      <sheetName val="13.2,13.3"/>
      <sheetName val="14.1,14.2"/>
      <sheetName val="15.1"/>
      <sheetName val="15.2"/>
      <sheetName val="Block_Level"/>
      <sheetName val="16.1"/>
      <sheetName val="17.1"/>
      <sheetName val="17.2"/>
      <sheetName val="18.1"/>
      <sheetName val="18.2"/>
      <sheetName val="18.3"/>
      <sheetName val="19.1"/>
      <sheetName val="20.1"/>
      <sheetName val="20.2"/>
      <sheetName val="21.1"/>
      <sheetName val="21.2"/>
      <sheetName val="Check(Pop)"/>
      <sheetName val="Check(Agri.Lab)"/>
      <sheetName val="Check(Block)"/>
      <sheetName val="Distri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oleObject" Target="../embeddings/Microsoft_Office_Word_97_-_2003_Document2.doc"/><Relationship Id="rId2" Type="http://schemas.openxmlformats.org/officeDocument/2006/relationships/vmlDrawing" Target="../drawings/vmlDrawing4.vml"/><Relationship Id="rId1" Type="http://schemas.openxmlformats.org/officeDocument/2006/relationships/printerSettings" Target="../printerSettings/printerSettings47.bin"/><Relationship Id="rId4" Type="http://schemas.openxmlformats.org/officeDocument/2006/relationships/oleObject" Target="../embeddings/Microsoft_Office_Word_97_-_2003_Document3.doc"/></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Microsoft_Office_Word_97_-_2003_Document1.doc"/><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oleObject" Target="../embeddings/Microsoft_Office_Word_97_-_2003_Document4.doc"/><Relationship Id="rId2" Type="http://schemas.openxmlformats.org/officeDocument/2006/relationships/vmlDrawing" Target="../drawings/vmlDrawing5.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3" Type="http://schemas.openxmlformats.org/officeDocument/2006/relationships/oleObject" Target="../embeddings/Microsoft_Office_Word_97_-_2003_Document5.doc"/><Relationship Id="rId2" Type="http://schemas.openxmlformats.org/officeDocument/2006/relationships/vmlDrawing" Target="../drawings/vmlDrawing6.v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5"/>
  <dimension ref="A36:J54"/>
  <sheetViews>
    <sheetView tabSelected="1" workbookViewId="0">
      <selection activeCell="M11" sqref="M11"/>
    </sheetView>
  </sheetViews>
  <sheetFormatPr defaultRowHeight="12.75"/>
  <sheetData>
    <row r="36" ht="27.75" customHeight="1"/>
    <row r="37" ht="12.75" customHeight="1"/>
    <row r="52" spans="1:10" ht="20.25">
      <c r="A52" s="1268" t="s">
        <v>8</v>
      </c>
      <c r="B52" s="1268"/>
      <c r="C52" s="1268"/>
      <c r="D52" s="1268"/>
      <c r="E52" s="1268"/>
      <c r="F52" s="1268"/>
      <c r="G52" s="1268"/>
      <c r="H52" s="1268"/>
      <c r="I52" s="1268"/>
      <c r="J52" s="1268"/>
    </row>
    <row r="53" spans="1:10" ht="23.25">
      <c r="A53" s="1269" t="s">
        <v>755</v>
      </c>
      <c r="B53" s="1269"/>
      <c r="C53" s="1269"/>
      <c r="D53" s="1269"/>
      <c r="E53" s="1269"/>
      <c r="F53" s="1269"/>
      <c r="G53" s="1269"/>
      <c r="H53" s="1269"/>
      <c r="I53" s="1269"/>
      <c r="J53" s="1269"/>
    </row>
    <row r="54" spans="1:10" ht="15.75">
      <c r="A54" s="1267" t="s">
        <v>9</v>
      </c>
      <c r="B54" s="1267"/>
      <c r="C54" s="1267"/>
      <c r="D54" s="1267"/>
      <c r="E54" s="1267"/>
      <c r="F54" s="1267"/>
      <c r="G54" s="1267"/>
      <c r="H54" s="1267"/>
      <c r="I54" s="1267"/>
      <c r="J54" s="1267"/>
    </row>
  </sheetData>
  <mergeCells count="3">
    <mergeCell ref="A54:J54"/>
    <mergeCell ref="A52:J52"/>
    <mergeCell ref="A53:J53"/>
  </mergeCells>
  <phoneticPr fontId="0" type="noConversion"/>
  <printOptions horizontalCentered="1"/>
  <pageMargins left="0.1" right="0.1" top="0.68" bottom="0.86" header="0.5" footer="0.86"/>
  <pageSetup paperSize="9" orientation="portrait" horizontalDpi="4294967295" r:id="rId1"/>
  <headerFooter alignWithMargins="0"/>
  <drawing r:id="rId2"/>
  <legacyDrawing r:id="rId3"/>
  <oleObjects>
    <oleObject progId="CorelDRAW.Graphic.9" shapeId="4098" r:id="rId4"/>
  </oleObjects>
</worksheet>
</file>

<file path=xl/worksheets/sheet10.xml><?xml version="1.0" encoding="utf-8"?>
<worksheet xmlns="http://schemas.openxmlformats.org/spreadsheetml/2006/main" xmlns:r="http://schemas.openxmlformats.org/officeDocument/2006/relationships">
  <sheetPr codeName="Sheet9"/>
  <dimension ref="A1:K47"/>
  <sheetViews>
    <sheetView topLeftCell="A28" workbookViewId="0">
      <selection activeCell="A27" sqref="A27:F27"/>
    </sheetView>
  </sheetViews>
  <sheetFormatPr defaultRowHeight="12.75"/>
  <cols>
    <col min="1" max="1" width="11.140625" customWidth="1"/>
    <col min="2" max="2" width="10.140625" style="1" customWidth="1"/>
    <col min="3" max="3" width="9.42578125" style="1" customWidth="1"/>
    <col min="4" max="4" width="8.28515625" style="1" customWidth="1"/>
    <col min="5" max="5" width="8.28515625" style="19" customWidth="1"/>
    <col min="6" max="6" width="8" customWidth="1"/>
    <col min="7" max="7" width="13.28515625" customWidth="1"/>
    <col min="8" max="8" width="9.5703125" customWidth="1"/>
    <col min="9" max="9" width="10.28515625" customWidth="1"/>
  </cols>
  <sheetData>
    <row r="1" spans="1:9" ht="12.75" customHeight="1">
      <c r="A1" s="1361" t="s">
        <v>395</v>
      </c>
      <c r="B1" s="1361"/>
      <c r="C1" s="1361"/>
      <c r="D1" s="1361"/>
      <c r="E1" s="1361"/>
      <c r="F1" s="1361"/>
      <c r="G1" s="1361"/>
      <c r="H1" s="1361"/>
      <c r="I1" s="1361"/>
    </row>
    <row r="2" spans="1:9" ht="16.5">
      <c r="A2" s="1287" t="str">
        <f>CONCATENATE("Area, Population and Density of Population in the district of ",District!$A$1,", 2011")</f>
        <v>Area, Population and Density of Population in the district of Jalpaiguri, 2011</v>
      </c>
      <c r="B2" s="1287"/>
      <c r="C2" s="1287"/>
      <c r="D2" s="1287"/>
      <c r="E2" s="1287"/>
      <c r="F2" s="1287"/>
      <c r="G2" s="1287"/>
      <c r="H2" s="1287"/>
      <c r="I2" s="1287"/>
    </row>
    <row r="3" spans="1:9" ht="45" customHeight="1">
      <c r="A3" s="1379" t="s">
        <v>840</v>
      </c>
      <c r="B3" s="1380"/>
      <c r="C3" s="1379" t="s">
        <v>1211</v>
      </c>
      <c r="D3" s="1380"/>
      <c r="E3" s="1379" t="s">
        <v>1508</v>
      </c>
      <c r="F3" s="1380"/>
      <c r="G3" s="1095" t="s">
        <v>1509</v>
      </c>
      <c r="H3" s="1381" t="s">
        <v>1215</v>
      </c>
      <c r="I3" s="1382"/>
    </row>
    <row r="4" spans="1:9" ht="15" customHeight="1">
      <c r="A4" s="1364" t="s">
        <v>278</v>
      </c>
      <c r="B4" s="1365"/>
      <c r="C4" s="1385" t="s">
        <v>279</v>
      </c>
      <c r="D4" s="1386"/>
      <c r="E4" s="1385" t="s">
        <v>280</v>
      </c>
      <c r="F4" s="1386"/>
      <c r="G4" s="92" t="s">
        <v>281</v>
      </c>
      <c r="H4" s="1383" t="s">
        <v>282</v>
      </c>
      <c r="I4" s="1384"/>
    </row>
    <row r="5" spans="1:9" ht="15" customHeight="1">
      <c r="A5" s="1377" t="s">
        <v>547</v>
      </c>
      <c r="B5" s="1378"/>
      <c r="C5" s="1375">
        <f>SUM(C6:C12)</f>
        <v>2245.4700000000003</v>
      </c>
      <c r="D5" s="1376"/>
      <c r="E5" s="1373">
        <f>SUM(E6:E12)</f>
        <v>1811885</v>
      </c>
      <c r="F5" s="1374"/>
      <c r="G5" s="239">
        <f t="shared" ref="G5:G26" si="0">ROUND(E5/C5,0)</f>
        <v>807</v>
      </c>
      <c r="H5" s="1375">
        <f>SUM(H6:H12)</f>
        <v>46.78</v>
      </c>
      <c r="I5" s="1376"/>
    </row>
    <row r="6" spans="1:9" ht="15" customHeight="1">
      <c r="A6" s="1323" t="s">
        <v>561</v>
      </c>
      <c r="B6" s="1372"/>
      <c r="C6" s="1366">
        <v>614.82000000000005</v>
      </c>
      <c r="D6" s="1367"/>
      <c r="E6" s="1368">
        <v>373776</v>
      </c>
      <c r="F6" s="1369"/>
      <c r="G6" s="232">
        <f t="shared" si="0"/>
        <v>608</v>
      </c>
      <c r="H6" s="1370">
        <f t="shared" ref="H6:H15" si="1">ROUND(E6/$E$26*100,2)</f>
        <v>9.65</v>
      </c>
      <c r="I6" s="1371"/>
    </row>
    <row r="7" spans="1:9" ht="15" customHeight="1">
      <c r="A7" s="1323" t="s">
        <v>1149</v>
      </c>
      <c r="B7" s="1372"/>
      <c r="C7" s="1366">
        <v>500.65</v>
      </c>
      <c r="D7" s="1367"/>
      <c r="E7" s="1368">
        <v>323445</v>
      </c>
      <c r="F7" s="1369"/>
      <c r="G7" s="232">
        <f t="shared" si="0"/>
        <v>646</v>
      </c>
      <c r="H7" s="1370">
        <f t="shared" si="1"/>
        <v>8.35</v>
      </c>
      <c r="I7" s="1371"/>
    </row>
    <row r="8" spans="1:9" ht="15" customHeight="1">
      <c r="A8" s="1323" t="s">
        <v>562</v>
      </c>
      <c r="B8" s="1372"/>
      <c r="C8" s="1366">
        <v>12.5</v>
      </c>
      <c r="D8" s="1367"/>
      <c r="E8" s="1368">
        <v>107341</v>
      </c>
      <c r="F8" s="1369"/>
      <c r="G8" s="232">
        <f t="shared" si="0"/>
        <v>8587</v>
      </c>
      <c r="H8" s="1370">
        <f t="shared" si="1"/>
        <v>2.77</v>
      </c>
      <c r="I8" s="1371"/>
    </row>
    <row r="9" spans="1:9" ht="15" customHeight="1">
      <c r="A9" s="1323" t="s">
        <v>549</v>
      </c>
      <c r="B9" s="1372"/>
      <c r="C9" s="1366">
        <v>530.6</v>
      </c>
      <c r="D9" s="1367"/>
      <c r="E9" s="1368">
        <v>329032</v>
      </c>
      <c r="F9" s="1369"/>
      <c r="G9" s="232">
        <f t="shared" si="0"/>
        <v>620</v>
      </c>
      <c r="H9" s="1370">
        <f t="shared" si="1"/>
        <v>8.5</v>
      </c>
      <c r="I9" s="1371"/>
    </row>
    <row r="10" spans="1:9" ht="15" customHeight="1">
      <c r="A10" s="1323" t="s">
        <v>550</v>
      </c>
      <c r="B10" s="1372"/>
      <c r="C10" s="1366">
        <v>565.1</v>
      </c>
      <c r="D10" s="1367"/>
      <c r="E10" s="1368">
        <v>414854</v>
      </c>
      <c r="F10" s="1369"/>
      <c r="G10" s="1315">
        <f>ROUND((E10+E11)/C10,0)</f>
        <v>813</v>
      </c>
      <c r="H10" s="1370">
        <f t="shared" si="1"/>
        <v>10.71</v>
      </c>
      <c r="I10" s="1371"/>
    </row>
    <row r="11" spans="1:9" ht="15" customHeight="1">
      <c r="A11" s="1323" t="s">
        <v>563</v>
      </c>
      <c r="B11" s="1372"/>
      <c r="C11" s="1366"/>
      <c r="D11" s="1367"/>
      <c r="E11" s="1368">
        <v>44719</v>
      </c>
      <c r="F11" s="1369"/>
      <c r="G11" s="1315"/>
      <c r="H11" s="1370">
        <f>ROUND(E11/$E$26*100,2)</f>
        <v>1.1499999999999999</v>
      </c>
      <c r="I11" s="1371"/>
    </row>
    <row r="12" spans="1:9" ht="15" customHeight="1">
      <c r="A12" s="1323" t="s">
        <v>765</v>
      </c>
      <c r="B12" s="1372"/>
      <c r="C12" s="1366">
        <v>21.8</v>
      </c>
      <c r="D12" s="1367"/>
      <c r="E12" s="1368">
        <v>218718</v>
      </c>
      <c r="F12" s="1369"/>
      <c r="G12" s="232">
        <f t="shared" si="0"/>
        <v>10033</v>
      </c>
      <c r="H12" s="1370">
        <f t="shared" si="1"/>
        <v>5.65</v>
      </c>
      <c r="I12" s="1371"/>
    </row>
    <row r="13" spans="1:9" ht="15" customHeight="1">
      <c r="A13" s="1377" t="s">
        <v>551</v>
      </c>
      <c r="B13" s="1378"/>
      <c r="C13" s="1375">
        <f>SUM(C14:C17)</f>
        <v>1150.8399999999999</v>
      </c>
      <c r="D13" s="1376"/>
      <c r="E13" s="1373">
        <f>SUM(E14:E17)</f>
        <v>569711</v>
      </c>
      <c r="F13" s="1374"/>
      <c r="G13" s="239">
        <f t="shared" si="0"/>
        <v>495</v>
      </c>
      <c r="H13" s="1375">
        <f>SUM(H14:H17)</f>
        <v>14.71</v>
      </c>
      <c r="I13" s="1376"/>
    </row>
    <row r="14" spans="1:9" ht="15" customHeight="1">
      <c r="A14" s="1323" t="s">
        <v>552</v>
      </c>
      <c r="B14" s="1372"/>
      <c r="C14" s="1366">
        <v>545.9</v>
      </c>
      <c r="D14" s="1367"/>
      <c r="E14" s="1368">
        <v>299556</v>
      </c>
      <c r="F14" s="1369"/>
      <c r="G14" s="232">
        <f t="shared" si="0"/>
        <v>549</v>
      </c>
      <c r="H14" s="1370">
        <f t="shared" si="1"/>
        <v>7.73</v>
      </c>
      <c r="I14" s="1371"/>
    </row>
    <row r="15" spans="1:9" ht="15" customHeight="1">
      <c r="A15" s="1323" t="s">
        <v>565</v>
      </c>
      <c r="B15" s="1372"/>
      <c r="C15" s="1366">
        <v>2.56</v>
      </c>
      <c r="D15" s="1367"/>
      <c r="E15" s="1368">
        <v>25218</v>
      </c>
      <c r="F15" s="1369"/>
      <c r="G15" s="232">
        <f t="shared" si="0"/>
        <v>9851</v>
      </c>
      <c r="H15" s="1370">
        <f t="shared" si="1"/>
        <v>0.65</v>
      </c>
      <c r="I15" s="1371"/>
    </row>
    <row r="16" spans="1:9" ht="15" customHeight="1">
      <c r="A16" s="1323" t="s">
        <v>553</v>
      </c>
      <c r="B16" s="1372"/>
      <c r="C16" s="1366">
        <v>204.9</v>
      </c>
      <c r="D16" s="1367"/>
      <c r="E16" s="1368">
        <v>117540</v>
      </c>
      <c r="F16" s="1369"/>
      <c r="G16" s="232">
        <f t="shared" si="0"/>
        <v>574</v>
      </c>
      <c r="H16" s="1370">
        <f>ROUND(E16/$E$26*100,2)+0.01</f>
        <v>3.0399999999999996</v>
      </c>
      <c r="I16" s="1371"/>
    </row>
    <row r="17" spans="1:11" ht="15" customHeight="1">
      <c r="A17" s="1323" t="s">
        <v>554</v>
      </c>
      <c r="B17" s="1372"/>
      <c r="C17" s="1366">
        <v>397.48</v>
      </c>
      <c r="D17" s="1367"/>
      <c r="E17" s="1368">
        <v>127397</v>
      </c>
      <c r="F17" s="1369"/>
      <c r="G17" s="232">
        <f t="shared" si="0"/>
        <v>321</v>
      </c>
      <c r="H17" s="1370">
        <f>ROUND(E17/$E$26*100,2)</f>
        <v>3.29</v>
      </c>
      <c r="I17" s="1371"/>
    </row>
    <row r="18" spans="1:11" ht="15" customHeight="1">
      <c r="A18" s="1377" t="s">
        <v>556</v>
      </c>
      <c r="B18" s="1378"/>
      <c r="C18" s="1375">
        <f>SUM(C19:C25)</f>
        <v>2667.28</v>
      </c>
      <c r="D18" s="1376"/>
      <c r="E18" s="1373">
        <f>SUM(E19:E25)</f>
        <v>1491250</v>
      </c>
      <c r="F18" s="1374"/>
      <c r="G18" s="239">
        <f t="shared" si="0"/>
        <v>559</v>
      </c>
      <c r="H18" s="1375">
        <f>SUM(H19:H25)</f>
        <v>38.51</v>
      </c>
      <c r="I18" s="1376"/>
    </row>
    <row r="19" spans="1:11" ht="15" customHeight="1">
      <c r="A19" s="1323" t="s">
        <v>555</v>
      </c>
      <c r="B19" s="1372"/>
      <c r="C19" s="1366">
        <v>517.67999999999995</v>
      </c>
      <c r="D19" s="1367"/>
      <c r="E19" s="1368">
        <v>199609</v>
      </c>
      <c r="F19" s="1369"/>
      <c r="G19" s="232">
        <f t="shared" si="0"/>
        <v>386</v>
      </c>
      <c r="H19" s="1370">
        <f t="shared" ref="H19:H25" si="2">ROUND(E19/$E$26*100,2)</f>
        <v>5.15</v>
      </c>
      <c r="I19" s="1371"/>
    </row>
    <row r="20" spans="1:11" ht="15" customHeight="1">
      <c r="A20" s="1323" t="s">
        <v>557</v>
      </c>
      <c r="B20" s="1372"/>
      <c r="C20" s="1366">
        <v>353.93</v>
      </c>
      <c r="D20" s="1367"/>
      <c r="E20" s="1368">
        <v>290722</v>
      </c>
      <c r="F20" s="1369"/>
      <c r="G20" s="232">
        <f t="shared" si="0"/>
        <v>821</v>
      </c>
      <c r="H20" s="1370">
        <f t="shared" si="2"/>
        <v>7.51</v>
      </c>
      <c r="I20" s="1371"/>
    </row>
    <row r="21" spans="1:11" ht="15" customHeight="1">
      <c r="A21" s="1323" t="s">
        <v>560</v>
      </c>
      <c r="B21" s="1372"/>
      <c r="C21" s="1366">
        <v>376.75</v>
      </c>
      <c r="D21" s="1367"/>
      <c r="E21" s="1368">
        <v>202026</v>
      </c>
      <c r="F21" s="1369"/>
      <c r="G21" s="232">
        <f t="shared" si="0"/>
        <v>536</v>
      </c>
      <c r="H21" s="1370">
        <f t="shared" si="2"/>
        <v>5.22</v>
      </c>
      <c r="I21" s="1371"/>
    </row>
    <row r="22" spans="1:11" ht="15" customHeight="1">
      <c r="A22" s="1323" t="s">
        <v>566</v>
      </c>
      <c r="B22" s="1372"/>
      <c r="C22" s="1366">
        <v>711.61</v>
      </c>
      <c r="D22" s="1367"/>
      <c r="E22" s="1368">
        <v>298458</v>
      </c>
      <c r="F22" s="1369"/>
      <c r="G22" s="232">
        <f t="shared" si="0"/>
        <v>419</v>
      </c>
      <c r="H22" s="1370">
        <f t="shared" si="2"/>
        <v>7.71</v>
      </c>
      <c r="I22" s="1371"/>
    </row>
    <row r="23" spans="1:11" ht="15" customHeight="1">
      <c r="A23" s="1323" t="s">
        <v>567</v>
      </c>
      <c r="B23" s="1372"/>
      <c r="C23" s="1366">
        <v>378.59</v>
      </c>
      <c r="D23" s="1367"/>
      <c r="E23" s="1368">
        <v>216931</v>
      </c>
      <c r="F23" s="1369"/>
      <c r="G23" s="232">
        <f t="shared" si="0"/>
        <v>573</v>
      </c>
      <c r="H23" s="1370">
        <f t="shared" si="2"/>
        <v>5.6</v>
      </c>
      <c r="I23" s="1371"/>
    </row>
    <row r="24" spans="1:11" ht="15" customHeight="1">
      <c r="A24" s="1323" t="s">
        <v>568</v>
      </c>
      <c r="B24" s="1372"/>
      <c r="C24" s="1366">
        <v>9.8000000000000007</v>
      </c>
      <c r="D24" s="1367"/>
      <c r="E24" s="1368">
        <v>65232</v>
      </c>
      <c r="F24" s="1369"/>
      <c r="G24" s="232">
        <f t="shared" si="0"/>
        <v>6656</v>
      </c>
      <c r="H24" s="1370">
        <f t="shared" si="2"/>
        <v>1.68</v>
      </c>
      <c r="I24" s="1371"/>
    </row>
    <row r="25" spans="1:11" ht="15" customHeight="1">
      <c r="A25" s="1323" t="s">
        <v>569</v>
      </c>
      <c r="B25" s="1372"/>
      <c r="C25" s="1366">
        <v>318.92</v>
      </c>
      <c r="D25" s="1367"/>
      <c r="E25" s="1368">
        <v>218272</v>
      </c>
      <c r="F25" s="1369"/>
      <c r="G25" s="232">
        <f t="shared" si="0"/>
        <v>684</v>
      </c>
      <c r="H25" s="1370">
        <f t="shared" si="2"/>
        <v>5.64</v>
      </c>
      <c r="I25" s="1371"/>
    </row>
    <row r="26" spans="1:11" ht="15" customHeight="1">
      <c r="A26" s="1391" t="s">
        <v>1443</v>
      </c>
      <c r="B26" s="1392"/>
      <c r="C26" s="1362">
        <v>6227</v>
      </c>
      <c r="D26" s="1363"/>
      <c r="E26" s="1389">
        <f>SUM(E18,E13,E5)</f>
        <v>3872846</v>
      </c>
      <c r="F26" s="1390"/>
      <c r="G26" s="164">
        <f t="shared" si="0"/>
        <v>622</v>
      </c>
      <c r="H26" s="1362">
        <f>SUM(H18,H13,H5)</f>
        <v>100</v>
      </c>
      <c r="I26" s="1363"/>
    </row>
    <row r="27" spans="1:11" ht="23.25" customHeight="1">
      <c r="A27" s="1388" t="s">
        <v>529</v>
      </c>
      <c r="B27" s="1388"/>
      <c r="C27" s="1388"/>
      <c r="D27" s="1388"/>
      <c r="E27" s="1388"/>
      <c r="F27" s="1388"/>
      <c r="G27" s="1360" t="s">
        <v>538</v>
      </c>
      <c r="H27" s="1360"/>
      <c r="I27" s="1360"/>
      <c r="J27" s="408"/>
      <c r="K27" s="408"/>
    </row>
    <row r="28" spans="1:11" ht="12.75" customHeight="1">
      <c r="A28" s="1387"/>
      <c r="B28" s="1387"/>
      <c r="C28" s="1387"/>
      <c r="D28" s="1387"/>
      <c r="E28" s="1387"/>
      <c r="F28" s="1387"/>
      <c r="G28" s="383"/>
      <c r="H28" s="19"/>
    </row>
    <row r="29" spans="1:11" ht="10.5" customHeight="1">
      <c r="A29" s="1387"/>
      <c r="B29" s="1387"/>
      <c r="C29" s="1387"/>
      <c r="D29" s="1387"/>
      <c r="E29" s="1387"/>
      <c r="F29" s="1387"/>
      <c r="G29" s="383"/>
      <c r="H29" s="19"/>
    </row>
    <row r="30" spans="1:11">
      <c r="A30" s="1286" t="s">
        <v>1040</v>
      </c>
      <c r="B30" s="1286"/>
      <c r="C30" s="1286"/>
      <c r="D30" s="1286"/>
      <c r="E30" s="1286"/>
      <c r="F30" s="1286"/>
      <c r="G30" s="1286"/>
      <c r="H30" s="1286"/>
      <c r="I30" s="1286"/>
    </row>
    <row r="31" spans="1:11" ht="16.5">
      <c r="A31" s="1287" t="str">
        <f>CONCATENATE("Growth of Population by sex in different Census years in the district of ",District!$A$1)</f>
        <v>Growth of Population by sex in different Census years in the district of Jalpaiguri</v>
      </c>
      <c r="B31" s="1287"/>
      <c r="C31" s="1287"/>
      <c r="D31" s="1287"/>
      <c r="E31" s="1287"/>
      <c r="F31" s="1287"/>
      <c r="G31" s="1287"/>
      <c r="H31" s="1287"/>
      <c r="I31" s="1287"/>
    </row>
    <row r="32" spans="1:11" ht="12" customHeight="1">
      <c r="A32" s="719"/>
      <c r="B32" s="719"/>
      <c r="C32" s="719"/>
      <c r="D32" s="719"/>
      <c r="E32" s="719"/>
      <c r="F32" s="719"/>
      <c r="G32" s="719"/>
      <c r="H32" s="719"/>
      <c r="I32" s="1048" t="s">
        <v>800</v>
      </c>
    </row>
    <row r="33" spans="1:9" ht="65.25" customHeight="1">
      <c r="A33" s="325" t="s">
        <v>98</v>
      </c>
      <c r="B33" s="373" t="s">
        <v>791</v>
      </c>
      <c r="C33" s="825" t="s">
        <v>331</v>
      </c>
      <c r="D33" s="373" t="s">
        <v>1167</v>
      </c>
      <c r="E33" s="825" t="s">
        <v>207</v>
      </c>
      <c r="F33" s="373" t="s">
        <v>62</v>
      </c>
      <c r="G33" s="825" t="s">
        <v>1514</v>
      </c>
      <c r="H33" s="373" t="s">
        <v>1030</v>
      </c>
      <c r="I33" s="638" t="s">
        <v>63</v>
      </c>
    </row>
    <row r="34" spans="1:9" ht="15" customHeight="1">
      <c r="A34" s="92" t="s">
        <v>278</v>
      </c>
      <c r="B34" s="57" t="s">
        <v>279</v>
      </c>
      <c r="C34" s="87" t="s">
        <v>280</v>
      </c>
      <c r="D34" s="57" t="s">
        <v>281</v>
      </c>
      <c r="E34" s="87" t="s">
        <v>282</v>
      </c>
      <c r="F34" s="57" t="s">
        <v>283</v>
      </c>
      <c r="G34" s="87" t="s">
        <v>284</v>
      </c>
      <c r="H34" s="57" t="s">
        <v>301</v>
      </c>
      <c r="I34" s="58" t="s">
        <v>302</v>
      </c>
    </row>
    <row r="35" spans="1:9" ht="18" customHeight="1">
      <c r="A35" s="365">
        <v>1901</v>
      </c>
      <c r="B35" s="428">
        <v>546764</v>
      </c>
      <c r="C35" s="240">
        <f>ROUND(B35/$B$35*100,0)</f>
        <v>100</v>
      </c>
      <c r="D35" s="428">
        <v>296630</v>
      </c>
      <c r="E35" s="240">
        <f>B35-D35</f>
        <v>250134</v>
      </c>
      <c r="F35" s="227">
        <f>ROUND(E35/D35*100,0)</f>
        <v>84</v>
      </c>
      <c r="G35" s="249">
        <v>10289</v>
      </c>
      <c r="H35" s="227">
        <f>B35-G35</f>
        <v>536475</v>
      </c>
      <c r="I35" s="195">
        <f>ROUND(H35/B35*100,2)</f>
        <v>98.12</v>
      </c>
    </row>
    <row r="36" spans="1:9" ht="18" customHeight="1">
      <c r="A36" s="365">
        <v>1911</v>
      </c>
      <c r="B36" s="428">
        <v>663222</v>
      </c>
      <c r="C36" s="240">
        <f t="shared" ref="C36:C46" si="3">ROUND(B36/$B$35*100,0)</f>
        <v>121</v>
      </c>
      <c r="D36" s="428">
        <v>362649</v>
      </c>
      <c r="E36" s="240">
        <f t="shared" ref="E36:E46" si="4">B36-D36</f>
        <v>300573</v>
      </c>
      <c r="F36" s="227">
        <f t="shared" ref="F36:F46" si="5">ROUND(E36/D36*100,0)</f>
        <v>83</v>
      </c>
      <c r="G36" s="249">
        <v>11765</v>
      </c>
      <c r="H36" s="227">
        <f>B36-G36</f>
        <v>651457</v>
      </c>
      <c r="I36" s="195">
        <f t="shared" ref="I36:I46" si="6">ROUND(H36/B36*100,2)</f>
        <v>98.23</v>
      </c>
    </row>
    <row r="37" spans="1:9" ht="18" customHeight="1">
      <c r="A37" s="365">
        <v>1921</v>
      </c>
      <c r="B37" s="428">
        <v>695946</v>
      </c>
      <c r="C37" s="240">
        <f t="shared" si="3"/>
        <v>127</v>
      </c>
      <c r="D37" s="428">
        <v>375025</v>
      </c>
      <c r="E37" s="240">
        <f t="shared" si="4"/>
        <v>320921</v>
      </c>
      <c r="F37" s="227">
        <f t="shared" si="5"/>
        <v>86</v>
      </c>
      <c r="G37" s="249">
        <v>14813</v>
      </c>
      <c r="H37" s="227">
        <f>B37-G37</f>
        <v>681133</v>
      </c>
      <c r="I37" s="195">
        <f t="shared" si="6"/>
        <v>97.87</v>
      </c>
    </row>
    <row r="38" spans="1:9" ht="18" customHeight="1">
      <c r="A38" s="365">
        <v>1931</v>
      </c>
      <c r="B38" s="428">
        <v>740993</v>
      </c>
      <c r="C38" s="240">
        <f t="shared" si="3"/>
        <v>136</v>
      </c>
      <c r="D38" s="428">
        <v>404873</v>
      </c>
      <c r="E38" s="240">
        <f t="shared" si="4"/>
        <v>336120</v>
      </c>
      <c r="F38" s="227">
        <f t="shared" si="5"/>
        <v>83</v>
      </c>
      <c r="G38" s="249">
        <v>18962</v>
      </c>
      <c r="H38" s="227">
        <f>B38-G38</f>
        <v>722031</v>
      </c>
      <c r="I38" s="195">
        <f t="shared" si="6"/>
        <v>97.44</v>
      </c>
    </row>
    <row r="39" spans="1:9" ht="18" customHeight="1">
      <c r="A39" s="365">
        <v>1941</v>
      </c>
      <c r="B39" s="428">
        <v>847841</v>
      </c>
      <c r="C39" s="240">
        <f t="shared" si="3"/>
        <v>155</v>
      </c>
      <c r="D39" s="428">
        <v>461676</v>
      </c>
      <c r="E39" s="240">
        <f t="shared" si="4"/>
        <v>386165</v>
      </c>
      <c r="F39" s="227">
        <f t="shared" si="5"/>
        <v>84</v>
      </c>
      <c r="G39" s="249">
        <v>27766</v>
      </c>
      <c r="H39" s="227">
        <f t="shared" ref="H39:H46" si="7">B39-G39</f>
        <v>820075</v>
      </c>
      <c r="I39" s="195">
        <f t="shared" si="6"/>
        <v>96.73</v>
      </c>
    </row>
    <row r="40" spans="1:9" ht="18" customHeight="1">
      <c r="A40" s="365">
        <v>1951</v>
      </c>
      <c r="B40" s="428">
        <v>916747</v>
      </c>
      <c r="C40" s="240">
        <f t="shared" si="3"/>
        <v>168</v>
      </c>
      <c r="D40" s="428">
        <v>502280</v>
      </c>
      <c r="E40" s="240">
        <f t="shared" si="4"/>
        <v>414467</v>
      </c>
      <c r="F40" s="227">
        <f t="shared" si="5"/>
        <v>83</v>
      </c>
      <c r="G40" s="249">
        <v>66145</v>
      </c>
      <c r="H40" s="227">
        <f t="shared" si="7"/>
        <v>850602</v>
      </c>
      <c r="I40" s="195">
        <f t="shared" si="6"/>
        <v>92.78</v>
      </c>
    </row>
    <row r="41" spans="1:9" ht="18" customHeight="1">
      <c r="A41" s="365">
        <v>1961</v>
      </c>
      <c r="B41" s="428">
        <v>1359292</v>
      </c>
      <c r="C41" s="240">
        <f t="shared" si="3"/>
        <v>249</v>
      </c>
      <c r="D41" s="428">
        <v>733339</v>
      </c>
      <c r="E41" s="240">
        <f t="shared" si="4"/>
        <v>625953</v>
      </c>
      <c r="F41" s="227">
        <f t="shared" si="5"/>
        <v>85</v>
      </c>
      <c r="G41" s="249">
        <v>123814</v>
      </c>
      <c r="H41" s="227">
        <f t="shared" si="7"/>
        <v>1235478</v>
      </c>
      <c r="I41" s="195">
        <f t="shared" si="6"/>
        <v>90.89</v>
      </c>
    </row>
    <row r="42" spans="1:9" ht="18" customHeight="1">
      <c r="A42" s="365">
        <v>1971</v>
      </c>
      <c r="B42" s="428">
        <v>1750159</v>
      </c>
      <c r="C42" s="240">
        <f t="shared" si="3"/>
        <v>320</v>
      </c>
      <c r="D42" s="428">
        <v>927707</v>
      </c>
      <c r="E42" s="240">
        <f t="shared" si="4"/>
        <v>822452</v>
      </c>
      <c r="F42" s="227">
        <f t="shared" si="5"/>
        <v>89</v>
      </c>
      <c r="G42" s="249">
        <v>168080</v>
      </c>
      <c r="H42" s="227">
        <f t="shared" si="7"/>
        <v>1582079</v>
      </c>
      <c r="I42" s="195">
        <f t="shared" si="6"/>
        <v>90.4</v>
      </c>
    </row>
    <row r="43" spans="1:9" ht="18" customHeight="1">
      <c r="A43" s="365">
        <v>1981</v>
      </c>
      <c r="B43" s="428">
        <v>2214871</v>
      </c>
      <c r="C43" s="240">
        <f t="shared" si="3"/>
        <v>405</v>
      </c>
      <c r="D43" s="428">
        <v>1159843</v>
      </c>
      <c r="E43" s="240">
        <f t="shared" si="4"/>
        <v>1055028</v>
      </c>
      <c r="F43" s="227">
        <f t="shared" si="5"/>
        <v>91</v>
      </c>
      <c r="G43" s="249">
        <v>311221</v>
      </c>
      <c r="H43" s="227">
        <f t="shared" si="7"/>
        <v>1903650</v>
      </c>
      <c r="I43" s="195">
        <f t="shared" si="6"/>
        <v>85.95</v>
      </c>
    </row>
    <row r="44" spans="1:9" ht="18" customHeight="1">
      <c r="A44" s="365">
        <v>1991</v>
      </c>
      <c r="B44" s="428">
        <v>2800543</v>
      </c>
      <c r="C44" s="240">
        <f t="shared" si="3"/>
        <v>512</v>
      </c>
      <c r="D44" s="428">
        <v>1453194</v>
      </c>
      <c r="E44" s="240">
        <f t="shared" si="4"/>
        <v>1347349</v>
      </c>
      <c r="F44" s="227">
        <f t="shared" si="5"/>
        <v>93</v>
      </c>
      <c r="G44" s="249">
        <v>458247</v>
      </c>
      <c r="H44" s="227">
        <f t="shared" si="7"/>
        <v>2342296</v>
      </c>
      <c r="I44" s="195">
        <f t="shared" si="6"/>
        <v>83.64</v>
      </c>
    </row>
    <row r="45" spans="1:9" ht="18" customHeight="1">
      <c r="A45" s="365">
        <v>2001</v>
      </c>
      <c r="B45" s="428">
        <v>3401173</v>
      </c>
      <c r="C45" s="225">
        <f t="shared" si="3"/>
        <v>622</v>
      </c>
      <c r="D45" s="428">
        <v>1751145</v>
      </c>
      <c r="E45" s="225">
        <f t="shared" si="4"/>
        <v>1650028</v>
      </c>
      <c r="F45" s="227">
        <f t="shared" si="5"/>
        <v>94</v>
      </c>
      <c r="G45" s="215">
        <v>606882</v>
      </c>
      <c r="H45" s="227">
        <f t="shared" si="7"/>
        <v>2794291</v>
      </c>
      <c r="I45" s="195">
        <f t="shared" si="6"/>
        <v>82.16</v>
      </c>
    </row>
    <row r="46" spans="1:9" s="7" customFormat="1" ht="18" customHeight="1">
      <c r="A46" s="1004">
        <v>2011</v>
      </c>
      <c r="B46" s="455">
        <v>3872846</v>
      </c>
      <c r="C46" s="236">
        <f t="shared" si="3"/>
        <v>708</v>
      </c>
      <c r="D46" s="455">
        <v>1983064</v>
      </c>
      <c r="E46" s="236">
        <f t="shared" si="4"/>
        <v>1889782</v>
      </c>
      <c r="F46" s="236">
        <f t="shared" si="5"/>
        <v>95</v>
      </c>
      <c r="G46" s="455">
        <v>1060351</v>
      </c>
      <c r="H46" s="427">
        <f t="shared" si="7"/>
        <v>2812495</v>
      </c>
      <c r="I46" s="439">
        <f t="shared" si="6"/>
        <v>72.62</v>
      </c>
    </row>
    <row r="47" spans="1:9">
      <c r="A47" s="359"/>
      <c r="B47" s="359"/>
      <c r="C47" s="359"/>
      <c r="D47" s="359"/>
      <c r="E47" s="359"/>
      <c r="F47" s="359"/>
      <c r="G47" s="359"/>
      <c r="H47" s="408"/>
      <c r="I47" s="886" t="s">
        <v>2</v>
      </c>
    </row>
  </sheetData>
  <mergeCells count="103">
    <mergeCell ref="A24:B24"/>
    <mergeCell ref="A21:B21"/>
    <mergeCell ref="A22:B22"/>
    <mergeCell ref="E20:F20"/>
    <mergeCell ref="E21:F21"/>
    <mergeCell ref="E22:F22"/>
    <mergeCell ref="A20:B20"/>
    <mergeCell ref="C24:D24"/>
    <mergeCell ref="C21:D21"/>
    <mergeCell ref="C20:D20"/>
    <mergeCell ref="A28:F29"/>
    <mergeCell ref="A27:F27"/>
    <mergeCell ref="E25:F25"/>
    <mergeCell ref="E26:F26"/>
    <mergeCell ref="A25:B25"/>
    <mergeCell ref="A26:B26"/>
    <mergeCell ref="A31:I31"/>
    <mergeCell ref="A8:B8"/>
    <mergeCell ref="A9:B9"/>
    <mergeCell ref="A10:B10"/>
    <mergeCell ref="A12:B12"/>
    <mergeCell ref="A13:B13"/>
    <mergeCell ref="A14:B14"/>
    <mergeCell ref="A15:B15"/>
    <mergeCell ref="A16:B16"/>
    <mergeCell ref="A17:B17"/>
    <mergeCell ref="E9:F9"/>
    <mergeCell ref="A11:B11"/>
    <mergeCell ref="H24:I24"/>
    <mergeCell ref="H9:I9"/>
    <mergeCell ref="H13:I13"/>
    <mergeCell ref="H14:I14"/>
    <mergeCell ref="H17:I17"/>
    <mergeCell ref="H18:I18"/>
    <mergeCell ref="A3:B3"/>
    <mergeCell ref="A5:B5"/>
    <mergeCell ref="A6:B6"/>
    <mergeCell ref="A7:B7"/>
    <mergeCell ref="E3:F3"/>
    <mergeCell ref="H3:I3"/>
    <mergeCell ref="H4:I4"/>
    <mergeCell ref="H5:I5"/>
    <mergeCell ref="E4:F4"/>
    <mergeCell ref="E5:F5"/>
    <mergeCell ref="C3:D3"/>
    <mergeCell ref="C5:D5"/>
    <mergeCell ref="C4:D4"/>
    <mergeCell ref="C15:D15"/>
    <mergeCell ref="H16:I16"/>
    <mergeCell ref="H10:I10"/>
    <mergeCell ref="H6:I6"/>
    <mergeCell ref="H7:I7"/>
    <mergeCell ref="H8:I8"/>
    <mergeCell ref="E6:F6"/>
    <mergeCell ref="E7:F7"/>
    <mergeCell ref="E8:F8"/>
    <mergeCell ref="C10:D11"/>
    <mergeCell ref="G10:G11"/>
    <mergeCell ref="H11:I11"/>
    <mergeCell ref="E10:F10"/>
    <mergeCell ref="C6:D6"/>
    <mergeCell ref="C7:D7"/>
    <mergeCell ref="C8:D8"/>
    <mergeCell ref="C12:D12"/>
    <mergeCell ref="E11:F11"/>
    <mergeCell ref="C13:D13"/>
    <mergeCell ref="C14:D14"/>
    <mergeCell ref="E13:F13"/>
    <mergeCell ref="E12:F12"/>
    <mergeCell ref="E14:F14"/>
    <mergeCell ref="E18:F18"/>
    <mergeCell ref="E19:F19"/>
    <mergeCell ref="C23:D23"/>
    <mergeCell ref="C18:D18"/>
    <mergeCell ref="C19:D19"/>
    <mergeCell ref="A18:B18"/>
    <mergeCell ref="E23:F23"/>
    <mergeCell ref="E17:F17"/>
    <mergeCell ref="C17:D17"/>
    <mergeCell ref="G27:I27"/>
    <mergeCell ref="A30:I30"/>
    <mergeCell ref="A1:I1"/>
    <mergeCell ref="C26:D26"/>
    <mergeCell ref="A2:I2"/>
    <mergeCell ref="A4:B4"/>
    <mergeCell ref="C22:D22"/>
    <mergeCell ref="C25:D25"/>
    <mergeCell ref="E24:F24"/>
    <mergeCell ref="C9:D9"/>
    <mergeCell ref="H25:I25"/>
    <mergeCell ref="H12:I12"/>
    <mergeCell ref="H26:I26"/>
    <mergeCell ref="H19:I19"/>
    <mergeCell ref="H20:I20"/>
    <mergeCell ref="H21:I21"/>
    <mergeCell ref="H22:I22"/>
    <mergeCell ref="H23:I23"/>
    <mergeCell ref="H15:I15"/>
    <mergeCell ref="A19:B19"/>
    <mergeCell ref="E15:F15"/>
    <mergeCell ref="A23:B23"/>
    <mergeCell ref="E16:F16"/>
    <mergeCell ref="C16:D16"/>
  </mergeCells>
  <phoneticPr fontId="0" type="noConversion"/>
  <printOptions horizontalCentered="1"/>
  <pageMargins left="0.1" right="0.1" top="0.45" bottom="0.1" header="0.08" footer="0.1"/>
  <pageSetup paperSize="9"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sheetPr codeName="Sheet12"/>
  <dimension ref="A1:J41"/>
  <sheetViews>
    <sheetView topLeftCell="A5" workbookViewId="0">
      <selection activeCell="G16" sqref="G16"/>
    </sheetView>
  </sheetViews>
  <sheetFormatPr defaultRowHeight="12.75"/>
  <cols>
    <col min="1" max="1" width="23.140625" customWidth="1"/>
    <col min="2" max="10" width="12" customWidth="1"/>
  </cols>
  <sheetData>
    <row r="1" spans="1:10">
      <c r="A1" s="1393" t="s">
        <v>396</v>
      </c>
      <c r="B1" s="1393"/>
      <c r="C1" s="1393"/>
      <c r="D1" s="1393"/>
      <c r="E1" s="1393"/>
      <c r="F1" s="1393"/>
      <c r="G1" s="1393"/>
      <c r="H1" s="1393"/>
      <c r="I1" s="1393"/>
      <c r="J1" s="1393"/>
    </row>
    <row r="2" spans="1:10" ht="16.5">
      <c r="A2" s="1394" t="str">
        <f>CONCATENATE("Distribution of Rural and Urban Population by sex in the district of ",District!$A$1,", 2001")</f>
        <v>Distribution of Rural and Urban Population by sex in the district of Jalpaiguri, 2001</v>
      </c>
      <c r="B2" s="1394"/>
      <c r="C2" s="1394"/>
      <c r="D2" s="1394"/>
      <c r="E2" s="1394"/>
      <c r="F2" s="1394"/>
      <c r="G2" s="1394"/>
      <c r="H2" s="1394"/>
      <c r="I2" s="1394"/>
      <c r="J2" s="1394"/>
    </row>
    <row r="3" spans="1:10" ht="12" customHeight="1">
      <c r="B3" s="4"/>
      <c r="C3" s="4"/>
      <c r="D3" s="4"/>
      <c r="E3" s="4"/>
      <c r="F3" s="4"/>
      <c r="G3" s="4"/>
      <c r="H3" s="4"/>
      <c r="I3" s="4"/>
      <c r="J3" s="1048" t="s">
        <v>312</v>
      </c>
    </row>
    <row r="4" spans="1:10" ht="18" customHeight="1">
      <c r="A4" s="1299" t="s">
        <v>840</v>
      </c>
      <c r="B4" s="1291" t="s">
        <v>1030</v>
      </c>
      <c r="C4" s="1291"/>
      <c r="D4" s="1292"/>
      <c r="E4" s="1290" t="s">
        <v>1514</v>
      </c>
      <c r="F4" s="1291"/>
      <c r="G4" s="1292"/>
      <c r="H4" s="1290" t="s">
        <v>506</v>
      </c>
      <c r="I4" s="1291"/>
      <c r="J4" s="1292"/>
    </row>
    <row r="5" spans="1:10" ht="18" customHeight="1">
      <c r="A5" s="1302"/>
      <c r="B5" s="171" t="s">
        <v>332</v>
      </c>
      <c r="C5" s="171" t="s">
        <v>333</v>
      </c>
      <c r="D5" s="172" t="s">
        <v>300</v>
      </c>
      <c r="E5" s="173" t="s">
        <v>332</v>
      </c>
      <c r="F5" s="171" t="s">
        <v>333</v>
      </c>
      <c r="G5" s="172" t="s">
        <v>300</v>
      </c>
      <c r="H5" s="173" t="s">
        <v>332</v>
      </c>
      <c r="I5" s="171" t="s">
        <v>333</v>
      </c>
      <c r="J5" s="172" t="s">
        <v>300</v>
      </c>
    </row>
    <row r="6" spans="1:10" ht="18" customHeight="1">
      <c r="A6" s="137" t="s">
        <v>278</v>
      </c>
      <c r="B6" s="87" t="s">
        <v>279</v>
      </c>
      <c r="C6" s="87" t="s">
        <v>280</v>
      </c>
      <c r="D6" s="58" t="s">
        <v>281</v>
      </c>
      <c r="E6" s="92" t="s">
        <v>282</v>
      </c>
      <c r="F6" s="87" t="s">
        <v>283</v>
      </c>
      <c r="G6" s="58" t="s">
        <v>284</v>
      </c>
      <c r="H6" s="92" t="s">
        <v>301</v>
      </c>
      <c r="I6" s="87" t="s">
        <v>302</v>
      </c>
      <c r="J6" s="58" t="s">
        <v>303</v>
      </c>
    </row>
    <row r="7" spans="1:10" ht="18" customHeight="1">
      <c r="A7" s="174" t="s">
        <v>11</v>
      </c>
      <c r="B7" s="182">
        <f>SUM(B8:B13)</f>
        <v>610388</v>
      </c>
      <c r="C7" s="182">
        <f>SUM(C8:C13)</f>
        <v>566234</v>
      </c>
      <c r="D7" s="183">
        <f>SUM(D8:D13)</f>
        <v>1176622</v>
      </c>
      <c r="E7" s="182">
        <f>SUM(E8:E13)</f>
        <v>195118</v>
      </c>
      <c r="F7" s="182">
        <f>SUM(F8:F13)</f>
        <v>181435</v>
      </c>
      <c r="G7" s="184">
        <f t="shared" ref="G7:G26" si="0">IF(SUM(E7,F7)=0,"-",SUM(E7,F7))</f>
        <v>376553</v>
      </c>
      <c r="H7" s="185">
        <f t="shared" ref="H7:H26" si="1">IF(SUM(B7,E7)=0,"-",SUM(B7,E7))</f>
        <v>805506</v>
      </c>
      <c r="I7" s="185">
        <f t="shared" ref="I7:I26" si="2">IF(SUM(C7,F7)=0,"-",SUM(C7,F7))</f>
        <v>747669</v>
      </c>
      <c r="J7" s="184">
        <f t="shared" ref="J7:J26" si="3">IF(SUM(H7,I7)=0,"-",SUM(H7,I7))</f>
        <v>1553175</v>
      </c>
    </row>
    <row r="8" spans="1:10" ht="18" customHeight="1">
      <c r="A8" s="78" t="s">
        <v>561</v>
      </c>
      <c r="B8" s="175">
        <v>147467</v>
      </c>
      <c r="C8" s="175">
        <v>136500</v>
      </c>
      <c r="D8" s="176">
        <f t="shared" ref="D8:D13" si="4">IF(SUM(B8,C8)=0,"-",SUM(B8,C8))</f>
        <v>283967</v>
      </c>
      <c r="E8" s="177" t="s">
        <v>570</v>
      </c>
      <c r="F8" s="175" t="s">
        <v>570</v>
      </c>
      <c r="G8" s="176" t="str">
        <f t="shared" si="0"/>
        <v>-</v>
      </c>
      <c r="H8" s="186">
        <f t="shared" si="1"/>
        <v>147467</v>
      </c>
      <c r="I8" s="186">
        <f t="shared" si="2"/>
        <v>136500</v>
      </c>
      <c r="J8" s="176">
        <f t="shared" si="3"/>
        <v>283967</v>
      </c>
    </row>
    <row r="9" spans="1:10" ht="18" customHeight="1">
      <c r="A9" s="78" t="s">
        <v>1149</v>
      </c>
      <c r="B9" s="175">
        <v>145272</v>
      </c>
      <c r="C9" s="175">
        <v>135655</v>
      </c>
      <c r="D9" s="176">
        <f t="shared" si="4"/>
        <v>280927</v>
      </c>
      <c r="E9" s="177" t="s">
        <v>570</v>
      </c>
      <c r="F9" s="175" t="s">
        <v>570</v>
      </c>
      <c r="G9" s="176" t="str">
        <f t="shared" si="0"/>
        <v>-</v>
      </c>
      <c r="H9" s="186">
        <f t="shared" si="1"/>
        <v>145272</v>
      </c>
      <c r="I9" s="186">
        <f t="shared" si="2"/>
        <v>135655</v>
      </c>
      <c r="J9" s="176">
        <f t="shared" si="3"/>
        <v>280927</v>
      </c>
    </row>
    <row r="10" spans="1:10" ht="18" customHeight="1">
      <c r="A10" s="78" t="s">
        <v>562</v>
      </c>
      <c r="B10" s="175" t="s">
        <v>570</v>
      </c>
      <c r="C10" s="175" t="s">
        <v>570</v>
      </c>
      <c r="D10" s="176" t="str">
        <f t="shared" si="4"/>
        <v>-</v>
      </c>
      <c r="E10" s="177">
        <v>50629</v>
      </c>
      <c r="F10" s="175">
        <v>49719</v>
      </c>
      <c r="G10" s="176">
        <f t="shared" si="0"/>
        <v>100348</v>
      </c>
      <c r="H10" s="186">
        <f t="shared" si="1"/>
        <v>50629</v>
      </c>
      <c r="I10" s="186">
        <f t="shared" si="2"/>
        <v>49719</v>
      </c>
      <c r="J10" s="176">
        <f t="shared" si="3"/>
        <v>100348</v>
      </c>
    </row>
    <row r="11" spans="1:10" ht="18" customHeight="1">
      <c r="A11" s="78" t="s">
        <v>549</v>
      </c>
      <c r="B11" s="175">
        <v>131720</v>
      </c>
      <c r="C11" s="175">
        <v>122874</v>
      </c>
      <c r="D11" s="176">
        <f t="shared" si="4"/>
        <v>254594</v>
      </c>
      <c r="E11" s="177">
        <v>13883</v>
      </c>
      <c r="F11" s="175">
        <v>13223</v>
      </c>
      <c r="G11" s="176">
        <f t="shared" si="0"/>
        <v>27106</v>
      </c>
      <c r="H11" s="186">
        <f t="shared" si="1"/>
        <v>145603</v>
      </c>
      <c r="I11" s="186">
        <f t="shared" si="2"/>
        <v>136097</v>
      </c>
      <c r="J11" s="176">
        <f t="shared" si="3"/>
        <v>281700</v>
      </c>
    </row>
    <row r="12" spans="1:10" ht="18" customHeight="1">
      <c r="A12" s="78" t="s">
        <v>550</v>
      </c>
      <c r="B12" s="175">
        <v>185929</v>
      </c>
      <c r="C12" s="175">
        <v>171205</v>
      </c>
      <c r="D12" s="176">
        <f t="shared" si="4"/>
        <v>357134</v>
      </c>
      <c r="E12" s="177">
        <v>31856</v>
      </c>
      <c r="F12" s="175">
        <v>29471</v>
      </c>
      <c r="G12" s="176">
        <f t="shared" si="0"/>
        <v>61327</v>
      </c>
      <c r="H12" s="186">
        <f t="shared" si="1"/>
        <v>217785</v>
      </c>
      <c r="I12" s="186">
        <f t="shared" si="2"/>
        <v>200676</v>
      </c>
      <c r="J12" s="176">
        <f t="shared" si="3"/>
        <v>418461</v>
      </c>
    </row>
    <row r="13" spans="1:10" ht="18" customHeight="1">
      <c r="A13" s="78" t="s">
        <v>765</v>
      </c>
      <c r="B13" s="175" t="s">
        <v>570</v>
      </c>
      <c r="C13" s="175" t="s">
        <v>570</v>
      </c>
      <c r="D13" s="176" t="str">
        <f t="shared" si="4"/>
        <v>-</v>
      </c>
      <c r="E13" s="177">
        <v>98750</v>
      </c>
      <c r="F13" s="175">
        <v>89022</v>
      </c>
      <c r="G13" s="176">
        <f t="shared" si="0"/>
        <v>187772</v>
      </c>
      <c r="H13" s="186">
        <f t="shared" si="1"/>
        <v>98750</v>
      </c>
      <c r="I13" s="186">
        <f t="shared" si="2"/>
        <v>89022</v>
      </c>
      <c r="J13" s="176">
        <f t="shared" si="3"/>
        <v>187772</v>
      </c>
    </row>
    <row r="14" spans="1:10" ht="18" customHeight="1">
      <c r="A14" s="180" t="s">
        <v>15</v>
      </c>
      <c r="B14" s="182">
        <f>SUM(B15:B18)</f>
        <v>247606</v>
      </c>
      <c r="C14" s="182">
        <f>SUM(C15:C18)</f>
        <v>239599</v>
      </c>
      <c r="D14" s="187">
        <f>SUM(D15:D18)</f>
        <v>487205</v>
      </c>
      <c r="E14" s="182">
        <f>SUM(E15:E18)</f>
        <v>12151</v>
      </c>
      <c r="F14" s="182">
        <f>SUM(F15:F18)</f>
        <v>11067</v>
      </c>
      <c r="G14" s="184">
        <f t="shared" si="0"/>
        <v>23218</v>
      </c>
      <c r="H14" s="185">
        <f t="shared" si="1"/>
        <v>259757</v>
      </c>
      <c r="I14" s="185">
        <f t="shared" si="2"/>
        <v>250666</v>
      </c>
      <c r="J14" s="184">
        <f t="shared" si="3"/>
        <v>510423</v>
      </c>
    </row>
    <row r="15" spans="1:10" ht="18" customHeight="1">
      <c r="A15" s="78" t="s">
        <v>552</v>
      </c>
      <c r="B15" s="175">
        <v>135344</v>
      </c>
      <c r="C15" s="175">
        <v>130048</v>
      </c>
      <c r="D15" s="176">
        <f>IF(SUM(B15,C15)=0,"-",SUM(B15,C15))</f>
        <v>265392</v>
      </c>
      <c r="E15" s="177" t="s">
        <v>570</v>
      </c>
      <c r="F15" s="175" t="s">
        <v>570</v>
      </c>
      <c r="G15" s="176" t="str">
        <f t="shared" si="0"/>
        <v>-</v>
      </c>
      <c r="H15" s="186">
        <f t="shared" si="1"/>
        <v>135344</v>
      </c>
      <c r="I15" s="186">
        <f t="shared" si="2"/>
        <v>130048</v>
      </c>
      <c r="J15" s="176">
        <f t="shared" si="3"/>
        <v>265392</v>
      </c>
    </row>
    <row r="16" spans="1:10" ht="18" customHeight="1">
      <c r="A16" s="78" t="s">
        <v>565</v>
      </c>
      <c r="B16" s="175" t="s">
        <v>570</v>
      </c>
      <c r="C16" s="175" t="s">
        <v>570</v>
      </c>
      <c r="D16" s="176" t="str">
        <f>IF(SUM(B16,C16)=0,"-",SUM(B16,C16))</f>
        <v>-</v>
      </c>
      <c r="E16" s="177">
        <v>12151</v>
      </c>
      <c r="F16" s="175">
        <v>11067</v>
      </c>
      <c r="G16" s="176">
        <f t="shared" si="0"/>
        <v>23218</v>
      </c>
      <c r="H16" s="186">
        <f t="shared" si="1"/>
        <v>12151</v>
      </c>
      <c r="I16" s="186">
        <f t="shared" si="2"/>
        <v>11067</v>
      </c>
      <c r="J16" s="176">
        <f t="shared" si="3"/>
        <v>23218</v>
      </c>
    </row>
    <row r="17" spans="1:10" ht="18" customHeight="1">
      <c r="A17" s="78" t="s">
        <v>553</v>
      </c>
      <c r="B17" s="175">
        <v>53472</v>
      </c>
      <c r="C17" s="175">
        <v>52434</v>
      </c>
      <c r="D17" s="176">
        <f>IF(SUM(B17,C17)=0,"-",SUM(B17,C17))</f>
        <v>105906</v>
      </c>
      <c r="E17" s="177" t="s">
        <v>570</v>
      </c>
      <c r="F17" s="175" t="s">
        <v>570</v>
      </c>
      <c r="G17" s="176" t="str">
        <f t="shared" si="0"/>
        <v>-</v>
      </c>
      <c r="H17" s="186">
        <f t="shared" si="1"/>
        <v>53472</v>
      </c>
      <c r="I17" s="186">
        <f t="shared" si="2"/>
        <v>52434</v>
      </c>
      <c r="J17" s="176">
        <f t="shared" si="3"/>
        <v>105906</v>
      </c>
    </row>
    <row r="18" spans="1:10" ht="18" customHeight="1">
      <c r="A18" s="78" t="s">
        <v>554</v>
      </c>
      <c r="B18" s="175">
        <v>58790</v>
      </c>
      <c r="C18" s="175">
        <v>57117</v>
      </c>
      <c r="D18" s="176">
        <f>IF(SUM(B18,C18)=0,"-",SUM(B18,C18))</f>
        <v>115907</v>
      </c>
      <c r="E18" s="177" t="s">
        <v>570</v>
      </c>
      <c r="F18" s="175" t="s">
        <v>570</v>
      </c>
      <c r="G18" s="176" t="str">
        <f t="shared" si="0"/>
        <v>-</v>
      </c>
      <c r="H18" s="186">
        <f t="shared" si="1"/>
        <v>58790</v>
      </c>
      <c r="I18" s="186">
        <f t="shared" si="2"/>
        <v>57117</v>
      </c>
      <c r="J18" s="176">
        <f t="shared" si="3"/>
        <v>115907</v>
      </c>
    </row>
    <row r="19" spans="1:10" ht="18" customHeight="1">
      <c r="A19" s="180" t="s">
        <v>337</v>
      </c>
      <c r="B19" s="182">
        <f>SUM(B20:B26)</f>
        <v>579162</v>
      </c>
      <c r="C19" s="182">
        <f>SUM(C20:C26)</f>
        <v>551302</v>
      </c>
      <c r="D19" s="187">
        <f>SUM(D20:D26)</f>
        <v>1130464</v>
      </c>
      <c r="E19" s="182">
        <f>SUM(E20:E26)</f>
        <v>106720</v>
      </c>
      <c r="F19" s="182">
        <f>SUM(F20:F26)</f>
        <v>100391</v>
      </c>
      <c r="G19" s="184">
        <f t="shared" si="0"/>
        <v>207111</v>
      </c>
      <c r="H19" s="185">
        <f t="shared" si="1"/>
        <v>685882</v>
      </c>
      <c r="I19" s="185">
        <f t="shared" si="2"/>
        <v>651693</v>
      </c>
      <c r="J19" s="184">
        <f t="shared" si="3"/>
        <v>1337575</v>
      </c>
    </row>
    <row r="20" spans="1:10" ht="18" customHeight="1">
      <c r="A20" s="78" t="s">
        <v>555</v>
      </c>
      <c r="B20" s="175">
        <v>86057</v>
      </c>
      <c r="C20" s="175">
        <v>81443</v>
      </c>
      <c r="D20" s="176">
        <f t="shared" ref="D20:D26" si="5">IF(SUM(B20,C20)=0,"-",SUM(B20,C20))</f>
        <v>167500</v>
      </c>
      <c r="E20" s="177">
        <v>5401</v>
      </c>
      <c r="F20" s="175">
        <v>5146</v>
      </c>
      <c r="G20" s="176">
        <f t="shared" si="0"/>
        <v>10547</v>
      </c>
      <c r="H20" s="186">
        <f t="shared" si="1"/>
        <v>91458</v>
      </c>
      <c r="I20" s="186">
        <f t="shared" si="2"/>
        <v>86589</v>
      </c>
      <c r="J20" s="188">
        <f t="shared" si="3"/>
        <v>178047</v>
      </c>
    </row>
    <row r="21" spans="1:10" ht="18" customHeight="1">
      <c r="A21" s="78" t="s">
        <v>557</v>
      </c>
      <c r="B21" s="175">
        <v>121019</v>
      </c>
      <c r="C21" s="175">
        <v>113875</v>
      </c>
      <c r="D21" s="176">
        <f t="shared" si="5"/>
        <v>234894</v>
      </c>
      <c r="E21" s="177">
        <v>10095</v>
      </c>
      <c r="F21" s="175">
        <v>9284</v>
      </c>
      <c r="G21" s="176">
        <f t="shared" si="0"/>
        <v>19379</v>
      </c>
      <c r="H21" s="186">
        <f t="shared" si="1"/>
        <v>131114</v>
      </c>
      <c r="I21" s="186">
        <f t="shared" si="2"/>
        <v>123159</v>
      </c>
      <c r="J21" s="188">
        <f t="shared" si="3"/>
        <v>254273</v>
      </c>
    </row>
    <row r="22" spans="1:10" ht="18" customHeight="1">
      <c r="A22" s="78" t="s">
        <v>560</v>
      </c>
      <c r="B22" s="175">
        <v>94278</v>
      </c>
      <c r="C22" s="175">
        <v>91192</v>
      </c>
      <c r="D22" s="176">
        <f t="shared" si="5"/>
        <v>185470</v>
      </c>
      <c r="E22" s="177" t="s">
        <v>570</v>
      </c>
      <c r="F22" s="175" t="s">
        <v>570</v>
      </c>
      <c r="G22" s="176" t="str">
        <f t="shared" si="0"/>
        <v>-</v>
      </c>
      <c r="H22" s="186">
        <f t="shared" si="1"/>
        <v>94278</v>
      </c>
      <c r="I22" s="186">
        <f t="shared" si="2"/>
        <v>91192</v>
      </c>
      <c r="J22" s="188">
        <f t="shared" si="3"/>
        <v>185470</v>
      </c>
    </row>
    <row r="23" spans="1:10" ht="18" customHeight="1">
      <c r="A23" s="78" t="s">
        <v>566</v>
      </c>
      <c r="B23" s="175">
        <v>101067</v>
      </c>
      <c r="C23" s="175">
        <v>98365</v>
      </c>
      <c r="D23" s="176">
        <f t="shared" si="5"/>
        <v>199432</v>
      </c>
      <c r="E23" s="177">
        <v>27555</v>
      </c>
      <c r="F23" s="175">
        <v>25584</v>
      </c>
      <c r="G23" s="176">
        <f t="shared" si="0"/>
        <v>53139</v>
      </c>
      <c r="H23" s="186">
        <f t="shared" si="1"/>
        <v>128622</v>
      </c>
      <c r="I23" s="186">
        <f t="shared" si="2"/>
        <v>123949</v>
      </c>
      <c r="J23" s="188">
        <f t="shared" si="3"/>
        <v>252571</v>
      </c>
    </row>
    <row r="24" spans="1:10" ht="18" customHeight="1">
      <c r="A24" s="78" t="s">
        <v>567</v>
      </c>
      <c r="B24" s="175">
        <v>77729</v>
      </c>
      <c r="C24" s="175">
        <v>73349</v>
      </c>
      <c r="D24" s="176">
        <f t="shared" si="5"/>
        <v>151078</v>
      </c>
      <c r="E24" s="177">
        <v>23840</v>
      </c>
      <c r="F24" s="175">
        <v>22313</v>
      </c>
      <c r="G24" s="176">
        <f t="shared" si="0"/>
        <v>46153</v>
      </c>
      <c r="H24" s="186">
        <f t="shared" si="1"/>
        <v>101569</v>
      </c>
      <c r="I24" s="186">
        <f t="shared" si="2"/>
        <v>95662</v>
      </c>
      <c r="J24" s="188">
        <f t="shared" si="3"/>
        <v>197231</v>
      </c>
    </row>
    <row r="25" spans="1:10" ht="18" customHeight="1">
      <c r="A25" s="78" t="s">
        <v>568</v>
      </c>
      <c r="B25" s="175" t="s">
        <v>570</v>
      </c>
      <c r="C25" s="175" t="s">
        <v>570</v>
      </c>
      <c r="D25" s="176" t="str">
        <f>IF(SUM(B25,C25)=0,"-",SUM(B25,C25))</f>
        <v>-</v>
      </c>
      <c r="E25" s="177">
        <v>37303</v>
      </c>
      <c r="F25" s="175">
        <v>35696</v>
      </c>
      <c r="G25" s="176">
        <f>IF(SUM(E25,F25)=0,"-",SUM(E25,F25))</f>
        <v>72999</v>
      </c>
      <c r="H25" s="186">
        <f>IF(SUM(B25,E25)=0,"-",SUM(B25,E25))</f>
        <v>37303</v>
      </c>
      <c r="I25" s="186">
        <f>IF(SUM(C25,F25)=0,"-",SUM(C25,F25))</f>
        <v>35696</v>
      </c>
      <c r="J25" s="188">
        <f>IF(SUM(H25,I25)=0,"-",SUM(H25,I25))</f>
        <v>72999</v>
      </c>
    </row>
    <row r="26" spans="1:10" ht="18" customHeight="1">
      <c r="A26" s="78" t="s">
        <v>569</v>
      </c>
      <c r="B26" s="175">
        <v>99012</v>
      </c>
      <c r="C26" s="175">
        <v>93078</v>
      </c>
      <c r="D26" s="176">
        <f t="shared" si="5"/>
        <v>192090</v>
      </c>
      <c r="E26" s="177">
        <v>2526</v>
      </c>
      <c r="F26" s="175">
        <v>2368</v>
      </c>
      <c r="G26" s="176">
        <f t="shared" si="0"/>
        <v>4894</v>
      </c>
      <c r="H26" s="186">
        <f t="shared" si="1"/>
        <v>101538</v>
      </c>
      <c r="I26" s="186">
        <f t="shared" si="2"/>
        <v>95446</v>
      </c>
      <c r="J26" s="188">
        <f t="shared" si="3"/>
        <v>196984</v>
      </c>
    </row>
    <row r="27" spans="1:10" ht="18" customHeight="1">
      <c r="A27" s="189" t="s">
        <v>1468</v>
      </c>
      <c r="B27" s="190">
        <f t="shared" ref="B27:J27" si="6">SUM(B19,B14,B7)</f>
        <v>1437156</v>
      </c>
      <c r="C27" s="191">
        <f t="shared" si="6"/>
        <v>1357135</v>
      </c>
      <c r="D27" s="192">
        <f t="shared" si="6"/>
        <v>2794291</v>
      </c>
      <c r="E27" s="191">
        <f t="shared" si="6"/>
        <v>313989</v>
      </c>
      <c r="F27" s="191">
        <f t="shared" si="6"/>
        <v>292893</v>
      </c>
      <c r="G27" s="192">
        <f t="shared" si="6"/>
        <v>606882</v>
      </c>
      <c r="H27" s="191">
        <f t="shared" si="6"/>
        <v>1751145</v>
      </c>
      <c r="I27" s="191">
        <f>SUM(I19,I14,I7)</f>
        <v>1650028</v>
      </c>
      <c r="J27" s="192">
        <f t="shared" si="6"/>
        <v>3401173</v>
      </c>
    </row>
    <row r="28" spans="1:10">
      <c r="H28" s="55"/>
      <c r="I28" s="55"/>
      <c r="J28" s="875" t="s">
        <v>571</v>
      </c>
    </row>
    <row r="29" spans="1:10">
      <c r="A29" s="121"/>
      <c r="F29" s="72"/>
      <c r="J29" s="46"/>
    </row>
    <row r="30" spans="1:10">
      <c r="A30" s="129"/>
    </row>
    <row r="31" spans="1:10">
      <c r="A31" s="129"/>
    </row>
    <row r="32" spans="1:10">
      <c r="A32" s="130"/>
    </row>
    <row r="33" spans="1:1">
      <c r="A33" s="130"/>
    </row>
    <row r="34" spans="1:1">
      <c r="A34" s="130"/>
    </row>
    <row r="35" spans="1:1">
      <c r="A35" s="130"/>
    </row>
    <row r="36" spans="1:1">
      <c r="A36" s="89"/>
    </row>
    <row r="37" spans="1:1">
      <c r="A37" s="130"/>
    </row>
    <row r="38" spans="1:1">
      <c r="A38" s="130"/>
    </row>
    <row r="39" spans="1:1">
      <c r="A39" s="130"/>
    </row>
    <row r="40" spans="1:1">
      <c r="A40" s="130"/>
    </row>
    <row r="41" spans="1:1">
      <c r="A41" s="89"/>
    </row>
  </sheetData>
  <mergeCells count="6">
    <mergeCell ref="A1:J1"/>
    <mergeCell ref="A2:J2"/>
    <mergeCell ref="E4:G4"/>
    <mergeCell ref="H4:J4"/>
    <mergeCell ref="A4:A5"/>
    <mergeCell ref="B4:D4"/>
  </mergeCells>
  <phoneticPr fontId="0" type="noConversion"/>
  <printOptions horizontalCentered="1"/>
  <pageMargins left="0.1" right="0.1" top="0.69" bottom="0.1" header="0.5" footer="0.1"/>
  <pageSetup paperSize="9" orientation="landscape" blackAndWhite="1" r:id="rId1"/>
  <headerFooter alignWithMargins="0"/>
</worksheet>
</file>

<file path=xl/worksheets/sheet12.xml><?xml version="1.0" encoding="utf-8"?>
<worksheet xmlns="http://schemas.openxmlformats.org/spreadsheetml/2006/main" xmlns:r="http://schemas.openxmlformats.org/officeDocument/2006/relationships">
  <sheetPr codeName="Sheet13"/>
  <dimension ref="A1:J42"/>
  <sheetViews>
    <sheetView topLeftCell="A7" workbookViewId="0">
      <selection activeCell="G16" sqref="G16"/>
    </sheetView>
  </sheetViews>
  <sheetFormatPr defaultRowHeight="12.75"/>
  <cols>
    <col min="1" max="1" width="23.140625" style="359" customWidth="1"/>
    <col min="2" max="10" width="12" style="359" customWidth="1"/>
    <col min="11" max="16384" width="9.140625" style="359"/>
  </cols>
  <sheetData>
    <row r="1" spans="1:10">
      <c r="A1" s="1286" t="s">
        <v>397</v>
      </c>
      <c r="B1" s="1286"/>
      <c r="C1" s="1286"/>
      <c r="D1" s="1286"/>
      <c r="E1" s="1286"/>
      <c r="F1" s="1286"/>
      <c r="G1" s="1286"/>
      <c r="H1" s="1286"/>
      <c r="I1" s="1286"/>
      <c r="J1" s="1286"/>
    </row>
    <row r="2" spans="1:10" ht="16.5">
      <c r="A2" s="1287" t="str">
        <f>CONCATENATE("Distribution of Rural and Urban Population by sex in the district of ",District!$A$1,", 2011")</f>
        <v>Distribution of Rural and Urban Population by sex in the district of Jalpaiguri, 2011</v>
      </c>
      <c r="B2" s="1287"/>
      <c r="C2" s="1287"/>
      <c r="D2" s="1287"/>
      <c r="E2" s="1287"/>
      <c r="F2" s="1287"/>
      <c r="G2" s="1287"/>
      <c r="H2" s="1287"/>
      <c r="I2" s="1287"/>
      <c r="J2" s="1287"/>
    </row>
    <row r="3" spans="1:10" ht="12" customHeight="1">
      <c r="B3" s="405"/>
      <c r="C3" s="405"/>
      <c r="D3" s="405"/>
      <c r="E3" s="405"/>
      <c r="F3" s="405"/>
      <c r="G3" s="405"/>
      <c r="H3" s="405"/>
      <c r="I3" s="405"/>
      <c r="J3" s="665" t="s">
        <v>312</v>
      </c>
    </row>
    <row r="4" spans="1:10" ht="18" customHeight="1">
      <c r="A4" s="1299" t="s">
        <v>840</v>
      </c>
      <c r="B4" s="1291" t="s">
        <v>1030</v>
      </c>
      <c r="C4" s="1291"/>
      <c r="D4" s="1292"/>
      <c r="E4" s="1290" t="s">
        <v>1514</v>
      </c>
      <c r="F4" s="1291"/>
      <c r="G4" s="1292"/>
      <c r="H4" s="1290" t="s">
        <v>506</v>
      </c>
      <c r="I4" s="1291"/>
      <c r="J4" s="1292"/>
    </row>
    <row r="5" spans="1:10" ht="18" customHeight="1">
      <c r="A5" s="1302"/>
      <c r="B5" s="171" t="s">
        <v>332</v>
      </c>
      <c r="C5" s="171" t="s">
        <v>333</v>
      </c>
      <c r="D5" s="172" t="s">
        <v>300</v>
      </c>
      <c r="E5" s="173" t="s">
        <v>332</v>
      </c>
      <c r="F5" s="171" t="s">
        <v>333</v>
      </c>
      <c r="G5" s="172" t="s">
        <v>300</v>
      </c>
      <c r="H5" s="173" t="s">
        <v>332</v>
      </c>
      <c r="I5" s="171" t="s">
        <v>333</v>
      </c>
      <c r="J5" s="172" t="s">
        <v>300</v>
      </c>
    </row>
    <row r="6" spans="1:10" ht="18" customHeight="1">
      <c r="A6" s="137" t="s">
        <v>278</v>
      </c>
      <c r="B6" s="87" t="s">
        <v>279</v>
      </c>
      <c r="C6" s="87" t="s">
        <v>280</v>
      </c>
      <c r="D6" s="58" t="s">
        <v>281</v>
      </c>
      <c r="E6" s="87" t="s">
        <v>282</v>
      </c>
      <c r="F6" s="87" t="s">
        <v>283</v>
      </c>
      <c r="G6" s="58" t="s">
        <v>284</v>
      </c>
      <c r="H6" s="92" t="s">
        <v>301</v>
      </c>
      <c r="I6" s="87" t="s">
        <v>302</v>
      </c>
      <c r="J6" s="58" t="s">
        <v>303</v>
      </c>
    </row>
    <row r="7" spans="1:10" ht="18" customHeight="1">
      <c r="A7" s="208" t="s">
        <v>11</v>
      </c>
      <c r="B7" s="1139">
        <f>SUM(B8:B14)</f>
        <v>577483</v>
      </c>
      <c r="C7" s="1139">
        <f>SUM(C8:C14)</f>
        <v>546109</v>
      </c>
      <c r="D7" s="187">
        <f>SUM(D8:D14)</f>
        <v>1123592</v>
      </c>
      <c r="E7" s="1139">
        <f>SUM(E8:E14)</f>
        <v>351167</v>
      </c>
      <c r="F7" s="1139">
        <f>SUM(F8:F14)</f>
        <v>337126</v>
      </c>
      <c r="G7" s="184">
        <f t="shared" ref="G7:G27" si="0">IF(SUM(E7,F7)=0,"-",SUM(E7,F7))</f>
        <v>688293</v>
      </c>
      <c r="H7" s="333">
        <f t="shared" ref="H7:H27" si="1">IF(SUM(B7,E7)=0,"-",SUM(B7,E7))</f>
        <v>928650</v>
      </c>
      <c r="I7" s="333">
        <f t="shared" ref="I7:I27" si="2">IF(SUM(C7,F7)=0,"-",SUM(C7,F7))</f>
        <v>883235</v>
      </c>
      <c r="J7" s="184">
        <f t="shared" ref="J7:J27" si="3">IF(SUM(H7,I7)=0,"-",SUM(H7,I7))</f>
        <v>1811885</v>
      </c>
    </row>
    <row r="8" spans="1:10" ht="18" customHeight="1">
      <c r="A8" s="78" t="s">
        <v>561</v>
      </c>
      <c r="B8" s="31">
        <v>99129</v>
      </c>
      <c r="C8" s="31">
        <v>91516</v>
      </c>
      <c r="D8" s="176">
        <f t="shared" ref="D8:D14" si="4">IF(SUM(B8,C8)=0,"-",SUM(B8,C8))</f>
        <v>190645</v>
      </c>
      <c r="E8" s="31">
        <v>94056</v>
      </c>
      <c r="F8" s="31">
        <v>89075</v>
      </c>
      <c r="G8" s="176">
        <f t="shared" si="0"/>
        <v>183131</v>
      </c>
      <c r="H8" s="179">
        <f t="shared" si="1"/>
        <v>193185</v>
      </c>
      <c r="I8" s="179">
        <f t="shared" si="2"/>
        <v>180591</v>
      </c>
      <c r="J8" s="176">
        <f t="shared" si="3"/>
        <v>373776</v>
      </c>
    </row>
    <row r="9" spans="1:10" ht="18" customHeight="1">
      <c r="A9" s="78" t="s">
        <v>1149</v>
      </c>
      <c r="B9" s="31">
        <v>134526</v>
      </c>
      <c r="C9" s="31">
        <v>127258</v>
      </c>
      <c r="D9" s="176">
        <f t="shared" si="4"/>
        <v>261784</v>
      </c>
      <c r="E9" s="31">
        <v>31510</v>
      </c>
      <c r="F9" s="31">
        <v>30151</v>
      </c>
      <c r="G9" s="176">
        <f t="shared" si="0"/>
        <v>61661</v>
      </c>
      <c r="H9" s="179">
        <f t="shared" si="1"/>
        <v>166036</v>
      </c>
      <c r="I9" s="179">
        <f t="shared" si="2"/>
        <v>157409</v>
      </c>
      <c r="J9" s="176">
        <f t="shared" si="3"/>
        <v>323445</v>
      </c>
    </row>
    <row r="10" spans="1:10" ht="18" customHeight="1">
      <c r="A10" s="78" t="s">
        <v>562</v>
      </c>
      <c r="B10" s="175" t="s">
        <v>570</v>
      </c>
      <c r="C10" s="175" t="s">
        <v>570</v>
      </c>
      <c r="D10" s="176" t="str">
        <f t="shared" si="4"/>
        <v>-</v>
      </c>
      <c r="E10" s="31">
        <v>53708</v>
      </c>
      <c r="F10" s="31">
        <v>53633</v>
      </c>
      <c r="G10" s="176">
        <f t="shared" si="0"/>
        <v>107341</v>
      </c>
      <c r="H10" s="179">
        <f t="shared" si="1"/>
        <v>53708</v>
      </c>
      <c r="I10" s="179">
        <f t="shared" si="2"/>
        <v>53633</v>
      </c>
      <c r="J10" s="176">
        <f t="shared" si="3"/>
        <v>107341</v>
      </c>
    </row>
    <row r="11" spans="1:10" ht="18" customHeight="1">
      <c r="A11" s="78" t="s">
        <v>549</v>
      </c>
      <c r="B11" s="31">
        <v>150757</v>
      </c>
      <c r="C11" s="31">
        <v>140316</v>
      </c>
      <c r="D11" s="176">
        <f t="shared" si="4"/>
        <v>291073</v>
      </c>
      <c r="E11" s="31">
        <v>19273</v>
      </c>
      <c r="F11" s="31">
        <v>18686</v>
      </c>
      <c r="G11" s="176">
        <f t="shared" si="0"/>
        <v>37959</v>
      </c>
      <c r="H11" s="179">
        <f t="shared" si="1"/>
        <v>170030</v>
      </c>
      <c r="I11" s="179">
        <f t="shared" si="2"/>
        <v>159002</v>
      </c>
      <c r="J11" s="176">
        <f t="shared" si="3"/>
        <v>329032</v>
      </c>
    </row>
    <row r="12" spans="1:10" ht="18" customHeight="1">
      <c r="A12" s="78" t="s">
        <v>550</v>
      </c>
      <c r="B12" s="31">
        <v>193071</v>
      </c>
      <c r="C12" s="31">
        <v>187019</v>
      </c>
      <c r="D12" s="176">
        <f t="shared" si="4"/>
        <v>380090</v>
      </c>
      <c r="E12" s="31">
        <v>17500</v>
      </c>
      <c r="F12" s="31">
        <v>17264</v>
      </c>
      <c r="G12" s="176">
        <f t="shared" si="0"/>
        <v>34764</v>
      </c>
      <c r="H12" s="179">
        <f t="shared" si="1"/>
        <v>210571</v>
      </c>
      <c r="I12" s="179">
        <f t="shared" si="2"/>
        <v>204283</v>
      </c>
      <c r="J12" s="176">
        <f t="shared" si="3"/>
        <v>414854</v>
      </c>
    </row>
    <row r="13" spans="1:10" ht="18" customHeight="1">
      <c r="A13" s="78" t="s">
        <v>563</v>
      </c>
      <c r="B13" s="31" t="s">
        <v>570</v>
      </c>
      <c r="C13" s="31" t="s">
        <v>570</v>
      </c>
      <c r="D13" s="176" t="str">
        <f t="shared" si="4"/>
        <v>-</v>
      </c>
      <c r="E13" s="31">
        <v>22953</v>
      </c>
      <c r="F13" s="31">
        <v>21766</v>
      </c>
      <c r="G13" s="176">
        <f t="shared" si="0"/>
        <v>44719</v>
      </c>
      <c r="H13" s="179">
        <f t="shared" si="1"/>
        <v>22953</v>
      </c>
      <c r="I13" s="179">
        <f t="shared" si="2"/>
        <v>21766</v>
      </c>
      <c r="J13" s="176">
        <f t="shared" si="3"/>
        <v>44719</v>
      </c>
    </row>
    <row r="14" spans="1:10" ht="18" customHeight="1">
      <c r="A14" s="78" t="s">
        <v>765</v>
      </c>
      <c r="B14" s="175" t="s">
        <v>570</v>
      </c>
      <c r="C14" s="175" t="s">
        <v>570</v>
      </c>
      <c r="D14" s="176" t="str">
        <f t="shared" si="4"/>
        <v>-</v>
      </c>
      <c r="E14" s="31">
        <v>112167</v>
      </c>
      <c r="F14" s="31">
        <v>106551</v>
      </c>
      <c r="G14" s="176">
        <f t="shared" si="0"/>
        <v>218718</v>
      </c>
      <c r="H14" s="179">
        <f t="shared" si="1"/>
        <v>112167</v>
      </c>
      <c r="I14" s="179">
        <f t="shared" si="2"/>
        <v>106551</v>
      </c>
      <c r="J14" s="176">
        <f t="shared" si="3"/>
        <v>218718</v>
      </c>
    </row>
    <row r="15" spans="1:10" ht="18" customHeight="1">
      <c r="A15" s="180" t="s">
        <v>15</v>
      </c>
      <c r="B15" s="1139">
        <f>SUM(B16:B19)</f>
        <v>256211</v>
      </c>
      <c r="C15" s="1139">
        <f>SUM(C16:C19)</f>
        <v>248988</v>
      </c>
      <c r="D15" s="187">
        <f>SUM(D16:D19)</f>
        <v>505199</v>
      </c>
      <c r="E15" s="1139">
        <f>SUM(E16:E19)</f>
        <v>32671</v>
      </c>
      <c r="F15" s="1139">
        <f>SUM(F16:F19)</f>
        <v>31841</v>
      </c>
      <c r="G15" s="184">
        <f t="shared" si="0"/>
        <v>64512</v>
      </c>
      <c r="H15" s="333">
        <f t="shared" si="1"/>
        <v>288882</v>
      </c>
      <c r="I15" s="333">
        <f t="shared" si="2"/>
        <v>280829</v>
      </c>
      <c r="J15" s="184">
        <f t="shared" si="3"/>
        <v>569711</v>
      </c>
    </row>
    <row r="16" spans="1:10" ht="18" customHeight="1">
      <c r="A16" s="78" t="s">
        <v>552</v>
      </c>
      <c r="B16" s="31">
        <v>139602</v>
      </c>
      <c r="C16" s="31">
        <v>135782</v>
      </c>
      <c r="D16" s="176">
        <f>IF(SUM(B16,C16)=0,"-",SUM(B16,C16))</f>
        <v>275384</v>
      </c>
      <c r="E16" s="31">
        <v>12224</v>
      </c>
      <c r="F16" s="31">
        <v>11948</v>
      </c>
      <c r="G16" s="176">
        <f t="shared" si="0"/>
        <v>24172</v>
      </c>
      <c r="H16" s="179">
        <f t="shared" si="1"/>
        <v>151826</v>
      </c>
      <c r="I16" s="179">
        <f t="shared" si="2"/>
        <v>147730</v>
      </c>
      <c r="J16" s="176">
        <f t="shared" si="3"/>
        <v>299556</v>
      </c>
    </row>
    <row r="17" spans="1:10" ht="18" customHeight="1">
      <c r="A17" s="78" t="s">
        <v>565</v>
      </c>
      <c r="B17" s="175" t="s">
        <v>570</v>
      </c>
      <c r="C17" s="175" t="s">
        <v>570</v>
      </c>
      <c r="D17" s="176" t="str">
        <f>IF(SUM(B17,C17)=0,"-",SUM(B17,C17))</f>
        <v>-</v>
      </c>
      <c r="E17" s="31">
        <v>12814</v>
      </c>
      <c r="F17" s="31">
        <v>12404</v>
      </c>
      <c r="G17" s="176">
        <f t="shared" si="0"/>
        <v>25218</v>
      </c>
      <c r="H17" s="179">
        <f t="shared" si="1"/>
        <v>12814</v>
      </c>
      <c r="I17" s="179">
        <f t="shared" si="2"/>
        <v>12404</v>
      </c>
      <c r="J17" s="176">
        <f t="shared" si="3"/>
        <v>25218</v>
      </c>
    </row>
    <row r="18" spans="1:10" ht="18" customHeight="1">
      <c r="A18" s="78" t="s">
        <v>553</v>
      </c>
      <c r="B18" s="31">
        <v>52476</v>
      </c>
      <c r="C18" s="31">
        <v>49942</v>
      </c>
      <c r="D18" s="176">
        <f>IF(SUM(B18,C18)=0,"-",SUM(B18,C18))</f>
        <v>102418</v>
      </c>
      <c r="E18" s="31">
        <v>7633</v>
      </c>
      <c r="F18" s="31">
        <v>7489</v>
      </c>
      <c r="G18" s="176">
        <f t="shared" si="0"/>
        <v>15122</v>
      </c>
      <c r="H18" s="179">
        <f t="shared" si="1"/>
        <v>60109</v>
      </c>
      <c r="I18" s="179">
        <f t="shared" si="2"/>
        <v>57431</v>
      </c>
      <c r="J18" s="176">
        <f t="shared" si="3"/>
        <v>117540</v>
      </c>
    </row>
    <row r="19" spans="1:10" ht="18" customHeight="1">
      <c r="A19" s="78" t="s">
        <v>554</v>
      </c>
      <c r="B19" s="31">
        <v>64133</v>
      </c>
      <c r="C19" s="31">
        <v>63264</v>
      </c>
      <c r="D19" s="176">
        <f>IF(SUM(B19,C19)=0,"-",SUM(B19,C19))</f>
        <v>127397</v>
      </c>
      <c r="E19" s="175" t="s">
        <v>570</v>
      </c>
      <c r="F19" s="175" t="s">
        <v>570</v>
      </c>
      <c r="G19" s="176" t="str">
        <f t="shared" si="0"/>
        <v>-</v>
      </c>
      <c r="H19" s="179">
        <f t="shared" si="1"/>
        <v>64133</v>
      </c>
      <c r="I19" s="179">
        <f t="shared" si="2"/>
        <v>63264</v>
      </c>
      <c r="J19" s="176">
        <f t="shared" si="3"/>
        <v>127397</v>
      </c>
    </row>
    <row r="20" spans="1:10" ht="18" customHeight="1">
      <c r="A20" s="180" t="s">
        <v>337</v>
      </c>
      <c r="B20" s="1139">
        <f>SUM(B21:B27)</f>
        <v>603592</v>
      </c>
      <c r="C20" s="1139">
        <f>SUM(C21:C27)</f>
        <v>580112</v>
      </c>
      <c r="D20" s="187">
        <f>SUM(D21:D27)</f>
        <v>1183704</v>
      </c>
      <c r="E20" s="1139">
        <f>SUM(E21:E27)</f>
        <v>161940</v>
      </c>
      <c r="F20" s="1139">
        <f>SUM(F21:F27)</f>
        <v>145606</v>
      </c>
      <c r="G20" s="184">
        <f t="shared" si="0"/>
        <v>307546</v>
      </c>
      <c r="H20" s="333">
        <f t="shared" si="1"/>
        <v>765532</v>
      </c>
      <c r="I20" s="333">
        <f t="shared" si="2"/>
        <v>725718</v>
      </c>
      <c r="J20" s="184">
        <f t="shared" si="3"/>
        <v>1491250</v>
      </c>
    </row>
    <row r="21" spans="1:10" ht="18" customHeight="1">
      <c r="A21" s="78" t="s">
        <v>555</v>
      </c>
      <c r="B21" s="31">
        <v>89456</v>
      </c>
      <c r="C21" s="31">
        <v>84602</v>
      </c>
      <c r="D21" s="176">
        <f t="shared" ref="D21:D27" si="5">IF(SUM(B21,C21)=0,"-",SUM(B21,C21))</f>
        <v>174058</v>
      </c>
      <c r="E21" s="31">
        <v>13136</v>
      </c>
      <c r="F21" s="31">
        <v>12415</v>
      </c>
      <c r="G21" s="176">
        <f t="shared" si="0"/>
        <v>25551</v>
      </c>
      <c r="H21" s="179">
        <f t="shared" si="1"/>
        <v>102592</v>
      </c>
      <c r="I21" s="179">
        <f t="shared" si="2"/>
        <v>97017</v>
      </c>
      <c r="J21" s="188">
        <f t="shared" si="3"/>
        <v>199609</v>
      </c>
    </row>
    <row r="22" spans="1:10" ht="18" customHeight="1">
      <c r="A22" s="78" t="s">
        <v>557</v>
      </c>
      <c r="B22" s="31">
        <v>125691</v>
      </c>
      <c r="C22" s="31">
        <v>118470</v>
      </c>
      <c r="D22" s="176">
        <f t="shared" si="5"/>
        <v>244161</v>
      </c>
      <c r="E22" s="31">
        <v>23935</v>
      </c>
      <c r="F22" s="31">
        <v>22626</v>
      </c>
      <c r="G22" s="176">
        <f t="shared" si="0"/>
        <v>46561</v>
      </c>
      <c r="H22" s="179">
        <f t="shared" si="1"/>
        <v>149626</v>
      </c>
      <c r="I22" s="179">
        <f t="shared" si="2"/>
        <v>141096</v>
      </c>
      <c r="J22" s="188">
        <f t="shared" si="3"/>
        <v>290722</v>
      </c>
    </row>
    <row r="23" spans="1:10" ht="18" customHeight="1">
      <c r="A23" s="78" t="s">
        <v>560</v>
      </c>
      <c r="B23" s="31">
        <v>94531</v>
      </c>
      <c r="C23" s="31">
        <v>93734</v>
      </c>
      <c r="D23" s="176">
        <f t="shared" si="5"/>
        <v>188265</v>
      </c>
      <c r="E23" s="31">
        <v>7005</v>
      </c>
      <c r="F23" s="31">
        <v>6756</v>
      </c>
      <c r="G23" s="176">
        <f t="shared" si="0"/>
        <v>13761</v>
      </c>
      <c r="H23" s="179">
        <f t="shared" si="1"/>
        <v>101536</v>
      </c>
      <c r="I23" s="179">
        <f t="shared" si="2"/>
        <v>100490</v>
      </c>
      <c r="J23" s="188">
        <f t="shared" si="3"/>
        <v>202026</v>
      </c>
    </row>
    <row r="24" spans="1:10" ht="18" customHeight="1">
      <c r="A24" s="78" t="s">
        <v>566</v>
      </c>
      <c r="B24" s="31">
        <v>105633</v>
      </c>
      <c r="C24" s="31">
        <v>106175</v>
      </c>
      <c r="D24" s="176">
        <f t="shared" si="5"/>
        <v>211808</v>
      </c>
      <c r="E24" s="31">
        <v>49196</v>
      </c>
      <c r="F24" s="31">
        <v>37454</v>
      </c>
      <c r="G24" s="176">
        <f t="shared" si="0"/>
        <v>86650</v>
      </c>
      <c r="H24" s="179">
        <f t="shared" si="1"/>
        <v>154829</v>
      </c>
      <c r="I24" s="179">
        <f t="shared" si="2"/>
        <v>143629</v>
      </c>
      <c r="J24" s="188">
        <f t="shared" si="3"/>
        <v>298458</v>
      </c>
    </row>
    <row r="25" spans="1:10" ht="18" customHeight="1">
      <c r="A25" s="78" t="s">
        <v>567</v>
      </c>
      <c r="B25" s="31">
        <v>82878</v>
      </c>
      <c r="C25" s="31">
        <v>77882</v>
      </c>
      <c r="D25" s="176">
        <f t="shared" si="5"/>
        <v>160760</v>
      </c>
      <c r="E25" s="31">
        <v>28500</v>
      </c>
      <c r="F25" s="31">
        <v>27671</v>
      </c>
      <c r="G25" s="176">
        <f t="shared" si="0"/>
        <v>56171</v>
      </c>
      <c r="H25" s="179">
        <f t="shared" si="1"/>
        <v>111378</v>
      </c>
      <c r="I25" s="179">
        <f t="shared" si="2"/>
        <v>105553</v>
      </c>
      <c r="J25" s="188">
        <f t="shared" si="3"/>
        <v>216931</v>
      </c>
    </row>
    <row r="26" spans="1:10" ht="18" customHeight="1">
      <c r="A26" s="78" t="s">
        <v>568</v>
      </c>
      <c r="B26" s="175" t="s">
        <v>570</v>
      </c>
      <c r="C26" s="175" t="s">
        <v>570</v>
      </c>
      <c r="D26" s="176" t="str">
        <f t="shared" si="5"/>
        <v>-</v>
      </c>
      <c r="E26" s="31">
        <v>33137</v>
      </c>
      <c r="F26" s="31">
        <v>32095</v>
      </c>
      <c r="G26" s="176">
        <f t="shared" si="0"/>
        <v>65232</v>
      </c>
      <c r="H26" s="179">
        <f t="shared" si="1"/>
        <v>33137</v>
      </c>
      <c r="I26" s="179">
        <f t="shared" si="2"/>
        <v>32095</v>
      </c>
      <c r="J26" s="188">
        <f t="shared" si="3"/>
        <v>65232</v>
      </c>
    </row>
    <row r="27" spans="1:10" ht="18" customHeight="1">
      <c r="A27" s="78" t="s">
        <v>569</v>
      </c>
      <c r="B27" s="31">
        <v>105403</v>
      </c>
      <c r="C27" s="31">
        <v>99249</v>
      </c>
      <c r="D27" s="176">
        <f t="shared" si="5"/>
        <v>204652</v>
      </c>
      <c r="E27" s="31">
        <v>7031</v>
      </c>
      <c r="F27" s="31">
        <v>6589</v>
      </c>
      <c r="G27" s="176">
        <f t="shared" si="0"/>
        <v>13620</v>
      </c>
      <c r="H27" s="179">
        <f t="shared" si="1"/>
        <v>112434</v>
      </c>
      <c r="I27" s="179">
        <f t="shared" si="2"/>
        <v>105838</v>
      </c>
      <c r="J27" s="188">
        <f t="shared" si="3"/>
        <v>218272</v>
      </c>
    </row>
    <row r="28" spans="1:10" ht="18" customHeight="1">
      <c r="A28" s="189" t="s">
        <v>1468</v>
      </c>
      <c r="B28" s="190">
        <f t="shared" ref="B28:J28" si="6">SUM(B20,B15,B7)</f>
        <v>1437286</v>
      </c>
      <c r="C28" s="191">
        <f t="shared" si="6"/>
        <v>1375209</v>
      </c>
      <c r="D28" s="192">
        <f t="shared" si="6"/>
        <v>2812495</v>
      </c>
      <c r="E28" s="191">
        <f t="shared" si="6"/>
        <v>545778</v>
      </c>
      <c r="F28" s="191">
        <f t="shared" si="6"/>
        <v>514573</v>
      </c>
      <c r="G28" s="192">
        <f t="shared" si="6"/>
        <v>1060351</v>
      </c>
      <c r="H28" s="191">
        <f t="shared" si="6"/>
        <v>1983064</v>
      </c>
      <c r="I28" s="191">
        <f t="shared" si="6"/>
        <v>1889782</v>
      </c>
      <c r="J28" s="192">
        <f t="shared" si="6"/>
        <v>3872846</v>
      </c>
    </row>
    <row r="29" spans="1:10">
      <c r="H29" s="408"/>
      <c r="I29" s="408"/>
      <c r="J29" s="886" t="s">
        <v>770</v>
      </c>
    </row>
    <row r="30" spans="1:10">
      <c r="A30" s="431"/>
      <c r="F30" s="475"/>
      <c r="J30" s="215"/>
    </row>
    <row r="31" spans="1:10">
      <c r="A31" s="129"/>
    </row>
    <row r="32" spans="1:10">
      <c r="A32" s="129"/>
    </row>
    <row r="33" spans="1:1">
      <c r="A33" s="129"/>
    </row>
    <row r="34" spans="1:1">
      <c r="A34" s="129"/>
    </row>
    <row r="35" spans="1:1">
      <c r="A35" s="129"/>
    </row>
    <row r="36" spans="1:1">
      <c r="A36" s="129"/>
    </row>
    <row r="37" spans="1:1">
      <c r="A37" s="1158"/>
    </row>
    <row r="38" spans="1:1">
      <c r="A38" s="129"/>
    </row>
    <row r="39" spans="1:1">
      <c r="A39" s="129"/>
    </row>
    <row r="40" spans="1:1">
      <c r="A40" s="129"/>
    </row>
    <row r="41" spans="1:1">
      <c r="A41" s="129"/>
    </row>
    <row r="42" spans="1:1">
      <c r="A42" s="1158"/>
    </row>
  </sheetData>
  <mergeCells count="6">
    <mergeCell ref="A1:J1"/>
    <mergeCell ref="A2:J2"/>
    <mergeCell ref="E4:G4"/>
    <mergeCell ref="H4:J4"/>
    <mergeCell ref="A4:A5"/>
    <mergeCell ref="B4:D4"/>
  </mergeCells>
  <phoneticPr fontId="0" type="noConversion"/>
  <printOptions horizontalCentered="1"/>
  <pageMargins left="0.1" right="0.1" top="0.69" bottom="0.1" header="0.5" footer="0.1"/>
  <pageSetup paperSize="9" orientation="landscape" blackAndWhite="1" r:id="rId1"/>
  <headerFooter alignWithMargins="0"/>
</worksheet>
</file>

<file path=xl/worksheets/sheet13.xml><?xml version="1.0" encoding="utf-8"?>
<worksheet xmlns="http://schemas.openxmlformats.org/spreadsheetml/2006/main" xmlns:r="http://schemas.openxmlformats.org/officeDocument/2006/relationships">
  <sheetPr codeName="Sheet14"/>
  <dimension ref="A1:S28"/>
  <sheetViews>
    <sheetView topLeftCell="A4" workbookViewId="0">
      <selection activeCell="G16" sqref="G16"/>
    </sheetView>
  </sheetViews>
  <sheetFormatPr defaultRowHeight="12.75"/>
  <cols>
    <col min="1" max="1" width="10.7109375" customWidth="1"/>
    <col min="2" max="3" width="7.28515625" customWidth="1"/>
    <col min="4" max="4" width="6.5703125" customWidth="1"/>
    <col min="5" max="7" width="7.28515625" customWidth="1"/>
    <col min="8" max="8" width="6.85546875" customWidth="1"/>
    <col min="9" max="9" width="6.5703125" customWidth="1"/>
    <col min="10" max="10" width="6.7109375" customWidth="1"/>
    <col min="11" max="12" width="7.28515625" customWidth="1"/>
    <col min="13" max="13" width="6.28515625" customWidth="1"/>
    <col min="14" max="14" width="7.28515625" customWidth="1"/>
    <col min="15" max="15" width="6.5703125" customWidth="1"/>
    <col min="16" max="19" width="7.28515625" customWidth="1"/>
  </cols>
  <sheetData>
    <row r="1" spans="1:19">
      <c r="A1" s="1286" t="s">
        <v>398</v>
      </c>
      <c r="B1" s="1286"/>
      <c r="C1" s="1286"/>
      <c r="D1" s="1286"/>
      <c r="E1" s="1286"/>
      <c r="F1" s="1286"/>
      <c r="G1" s="1286"/>
      <c r="H1" s="1286"/>
      <c r="I1" s="1286"/>
      <c r="J1" s="1286"/>
      <c r="K1" s="1286"/>
      <c r="L1" s="1286"/>
      <c r="M1" s="1286"/>
      <c r="N1" s="1286"/>
      <c r="O1" s="1286"/>
      <c r="P1" s="1286"/>
      <c r="Q1" s="1286"/>
      <c r="R1" s="1286"/>
      <c r="S1" s="1286"/>
    </row>
    <row r="2" spans="1:19" ht="18" customHeight="1">
      <c r="A2" s="1287" t="str">
        <f>CONCATENATE("Distribution of Population by sex and by age group in the district of ",District!$A$1,", 2001")</f>
        <v>Distribution of Population by sex and by age group in the district of Jalpaiguri, 2001</v>
      </c>
      <c r="B2" s="1287"/>
      <c r="C2" s="1287"/>
      <c r="D2" s="1287"/>
      <c r="E2" s="1287"/>
      <c r="F2" s="1287"/>
      <c r="G2" s="1287"/>
      <c r="H2" s="1287"/>
      <c r="I2" s="1287"/>
      <c r="J2" s="1287"/>
      <c r="K2" s="1287"/>
      <c r="L2" s="1287"/>
      <c r="M2" s="1287"/>
      <c r="N2" s="1287"/>
      <c r="O2" s="1287"/>
      <c r="P2" s="1287"/>
      <c r="Q2" s="1287"/>
      <c r="R2" s="1287"/>
      <c r="S2" s="1287"/>
    </row>
    <row r="3" spans="1:19" ht="12" customHeight="1">
      <c r="A3" s="359"/>
      <c r="B3" s="432"/>
      <c r="C3" s="405"/>
      <c r="D3" s="405"/>
      <c r="E3" s="405"/>
      <c r="F3" s="405"/>
      <c r="G3" s="405"/>
      <c r="H3" s="405"/>
      <c r="I3" s="405"/>
      <c r="J3" s="405"/>
      <c r="K3" s="405"/>
      <c r="L3" s="405"/>
      <c r="M3" s="405"/>
      <c r="N3" s="405"/>
      <c r="O3" s="405"/>
      <c r="P3" s="405"/>
      <c r="Q3" s="434"/>
      <c r="R3" s="434"/>
      <c r="S3" s="1096" t="s">
        <v>3</v>
      </c>
    </row>
    <row r="4" spans="1:19" ht="15" customHeight="1">
      <c r="A4" s="1299" t="s">
        <v>342</v>
      </c>
      <c r="B4" s="1291" t="s">
        <v>1030</v>
      </c>
      <c r="C4" s="1291"/>
      <c r="D4" s="1291"/>
      <c r="E4" s="1291"/>
      <c r="F4" s="1291"/>
      <c r="G4" s="1292"/>
      <c r="H4" s="1290" t="s">
        <v>1514</v>
      </c>
      <c r="I4" s="1291"/>
      <c r="J4" s="1291"/>
      <c r="K4" s="1291"/>
      <c r="L4" s="1291"/>
      <c r="M4" s="1292"/>
      <c r="N4" s="1290" t="s">
        <v>506</v>
      </c>
      <c r="O4" s="1291"/>
      <c r="P4" s="1291"/>
      <c r="Q4" s="1291"/>
      <c r="R4" s="1291"/>
      <c r="S4" s="1292"/>
    </row>
    <row r="5" spans="1:19" ht="15" customHeight="1">
      <c r="A5" s="1398"/>
      <c r="B5" s="1397" t="s">
        <v>332</v>
      </c>
      <c r="C5" s="1396"/>
      <c r="D5" s="1395" t="s">
        <v>333</v>
      </c>
      <c r="E5" s="1396"/>
      <c r="F5" s="1397" t="s">
        <v>300</v>
      </c>
      <c r="G5" s="1396"/>
      <c r="H5" s="1395" t="s">
        <v>332</v>
      </c>
      <c r="I5" s="1396"/>
      <c r="J5" s="1395" t="s">
        <v>333</v>
      </c>
      <c r="K5" s="1396"/>
      <c r="L5" s="1397" t="s">
        <v>300</v>
      </c>
      <c r="M5" s="1396"/>
      <c r="N5" s="1395" t="s">
        <v>332</v>
      </c>
      <c r="O5" s="1396"/>
      <c r="P5" s="1395" t="s">
        <v>333</v>
      </c>
      <c r="Q5" s="1396"/>
      <c r="R5" s="1397" t="s">
        <v>300</v>
      </c>
      <c r="S5" s="1396"/>
    </row>
    <row r="6" spans="1:19" ht="15" customHeight="1">
      <c r="A6" s="1302"/>
      <c r="B6" s="198" t="s">
        <v>317</v>
      </c>
      <c r="C6" s="199" t="s">
        <v>343</v>
      </c>
      <c r="D6" s="200" t="s">
        <v>317</v>
      </c>
      <c r="E6" s="199" t="s">
        <v>343</v>
      </c>
      <c r="F6" s="198" t="s">
        <v>317</v>
      </c>
      <c r="G6" s="199" t="s">
        <v>343</v>
      </c>
      <c r="H6" s="200" t="s">
        <v>317</v>
      </c>
      <c r="I6" s="199" t="s">
        <v>343</v>
      </c>
      <c r="J6" s="200" t="s">
        <v>317</v>
      </c>
      <c r="K6" s="199" t="s">
        <v>343</v>
      </c>
      <c r="L6" s="198" t="s">
        <v>317</v>
      </c>
      <c r="M6" s="199" t="s">
        <v>343</v>
      </c>
      <c r="N6" s="200" t="s">
        <v>317</v>
      </c>
      <c r="O6" s="199" t="s">
        <v>343</v>
      </c>
      <c r="P6" s="200" t="s">
        <v>317</v>
      </c>
      <c r="Q6" s="199" t="s">
        <v>343</v>
      </c>
      <c r="R6" s="198" t="s">
        <v>317</v>
      </c>
      <c r="S6" s="199" t="s">
        <v>343</v>
      </c>
    </row>
    <row r="7" spans="1:19" ht="15" customHeight="1">
      <c r="A7" s="137" t="s">
        <v>278</v>
      </c>
      <c r="B7" s="87" t="s">
        <v>279</v>
      </c>
      <c r="C7" s="58" t="s">
        <v>280</v>
      </c>
      <c r="D7" s="92" t="s">
        <v>281</v>
      </c>
      <c r="E7" s="60" t="s">
        <v>282</v>
      </c>
      <c r="F7" s="87" t="s">
        <v>283</v>
      </c>
      <c r="G7" s="60" t="s">
        <v>284</v>
      </c>
      <c r="H7" s="92" t="s">
        <v>301</v>
      </c>
      <c r="I7" s="58" t="s">
        <v>302</v>
      </c>
      <c r="J7" s="92" t="s">
        <v>303</v>
      </c>
      <c r="K7" s="58" t="s">
        <v>304</v>
      </c>
      <c r="L7" s="87" t="s">
        <v>344</v>
      </c>
      <c r="M7" s="60" t="s">
        <v>345</v>
      </c>
      <c r="N7" s="153" t="s">
        <v>346</v>
      </c>
      <c r="O7" s="60" t="s">
        <v>347</v>
      </c>
      <c r="P7" s="153" t="s">
        <v>348</v>
      </c>
      <c r="Q7" s="60" t="s">
        <v>349</v>
      </c>
      <c r="R7" s="87" t="s">
        <v>351</v>
      </c>
      <c r="S7" s="58" t="s">
        <v>350</v>
      </c>
    </row>
    <row r="8" spans="1:19" ht="18" customHeight="1">
      <c r="A8" s="193" t="s">
        <v>352</v>
      </c>
      <c r="B8" s="201">
        <v>152.6</v>
      </c>
      <c r="C8" s="195">
        <f>ROUND(B8/B$26*100,2)</f>
        <v>10.62</v>
      </c>
      <c r="D8" s="202">
        <v>148.4</v>
      </c>
      <c r="E8" s="195">
        <f>ROUND(D8/D$26*100,2)+0.01</f>
        <v>10.95</v>
      </c>
      <c r="F8" s="203">
        <f>B8+D8</f>
        <v>301</v>
      </c>
      <c r="G8" s="195">
        <f>ROUND(F8/F$26*100,2)</f>
        <v>10.77</v>
      </c>
      <c r="H8" s="202">
        <v>24.5</v>
      </c>
      <c r="I8" s="195">
        <f>ROUND(H8/H$26*100,2)</f>
        <v>7.8</v>
      </c>
      <c r="J8" s="202">
        <v>24</v>
      </c>
      <c r="K8" s="195">
        <f>ROUND(J8/J$26*100,2)</f>
        <v>8.19</v>
      </c>
      <c r="L8" s="203">
        <f t="shared" ref="L8:L25" si="0">H8+J8</f>
        <v>48.5</v>
      </c>
      <c r="M8" s="195">
        <f>ROUND(L8/L$26*100,2)</f>
        <v>7.99</v>
      </c>
      <c r="N8" s="204">
        <f>B8+H8</f>
        <v>177.1</v>
      </c>
      <c r="O8" s="195">
        <f>ROUND(N8/N$26*100,2)</f>
        <v>10.11</v>
      </c>
      <c r="P8" s="204">
        <f t="shared" ref="P8:P25" si="1">D8+J8</f>
        <v>172.4</v>
      </c>
      <c r="Q8" s="195">
        <f>ROUND(P8/P$26*100,2)</f>
        <v>10.45</v>
      </c>
      <c r="R8" s="203">
        <f t="shared" ref="R8:R25" si="2">N8+P8</f>
        <v>349.5</v>
      </c>
      <c r="S8" s="195">
        <f>ROUND(R8/R$26*100,2)</f>
        <v>10.28</v>
      </c>
    </row>
    <row r="9" spans="1:19" ht="18" customHeight="1">
      <c r="A9" s="197" t="s">
        <v>353</v>
      </c>
      <c r="B9" s="201">
        <v>188.5</v>
      </c>
      <c r="C9" s="195">
        <f t="shared" ref="C9:C25" si="3">ROUND(B9/B$26*100,2)</f>
        <v>13.12</v>
      </c>
      <c r="D9" s="202">
        <v>182.3</v>
      </c>
      <c r="E9" s="195">
        <f t="shared" ref="E9:E25" si="4">ROUND(D9/D$26*100,2)</f>
        <v>13.43</v>
      </c>
      <c r="F9" s="203">
        <f t="shared" ref="F9:F25" si="5">B9+D9</f>
        <v>370.8</v>
      </c>
      <c r="G9" s="195">
        <f t="shared" ref="G9:G25" si="6">ROUND(F9/F$26*100,2)</f>
        <v>13.27</v>
      </c>
      <c r="H9" s="202">
        <v>30.2</v>
      </c>
      <c r="I9" s="195">
        <f t="shared" ref="I9:I25" si="7">ROUND(H9/H$26*100,2)</f>
        <v>9.6199999999999992</v>
      </c>
      <c r="J9" s="202">
        <v>28.5</v>
      </c>
      <c r="K9" s="195">
        <f t="shared" ref="K9:K25" si="8">ROUND(J9/J$26*100,2)</f>
        <v>9.73</v>
      </c>
      <c r="L9" s="203">
        <f t="shared" si="0"/>
        <v>58.7</v>
      </c>
      <c r="M9" s="195">
        <f t="shared" ref="M9:M25" si="9">ROUND(L9/L$26*100,2)</f>
        <v>9.67</v>
      </c>
      <c r="N9" s="204">
        <f t="shared" ref="N9:N25" si="10">B9+H9</f>
        <v>218.7</v>
      </c>
      <c r="O9" s="195">
        <f>ROUND(N9/N$26*100,2)</f>
        <v>12.49</v>
      </c>
      <c r="P9" s="204">
        <f t="shared" si="1"/>
        <v>210.8</v>
      </c>
      <c r="Q9" s="195">
        <f t="shared" ref="Q9:Q25" si="11">ROUND(P9/P$26*100,2)</f>
        <v>12.78</v>
      </c>
      <c r="R9" s="203">
        <f t="shared" si="2"/>
        <v>429.5</v>
      </c>
      <c r="S9" s="195">
        <f t="shared" ref="S9:S25" si="12">ROUND(R9/R$26*100,2)</f>
        <v>12.63</v>
      </c>
    </row>
    <row r="10" spans="1:19" ht="18" customHeight="1">
      <c r="A10" s="197" t="s">
        <v>354</v>
      </c>
      <c r="B10" s="201">
        <v>187.8</v>
      </c>
      <c r="C10" s="195">
        <f t="shared" si="3"/>
        <v>13.07</v>
      </c>
      <c r="D10" s="202">
        <v>179</v>
      </c>
      <c r="E10" s="195">
        <f t="shared" si="4"/>
        <v>13.19</v>
      </c>
      <c r="F10" s="203">
        <f t="shared" si="5"/>
        <v>366.8</v>
      </c>
      <c r="G10" s="195">
        <f t="shared" si="6"/>
        <v>13.13</v>
      </c>
      <c r="H10" s="202">
        <v>34.4</v>
      </c>
      <c r="I10" s="195">
        <f t="shared" si="7"/>
        <v>10.96</v>
      </c>
      <c r="J10" s="202">
        <v>33</v>
      </c>
      <c r="K10" s="195">
        <f t="shared" si="8"/>
        <v>11.27</v>
      </c>
      <c r="L10" s="203">
        <f t="shared" si="0"/>
        <v>67.400000000000006</v>
      </c>
      <c r="M10" s="195">
        <f t="shared" si="9"/>
        <v>11.1</v>
      </c>
      <c r="N10" s="204">
        <f t="shared" si="10"/>
        <v>222.20000000000002</v>
      </c>
      <c r="O10" s="195">
        <f t="shared" ref="O10:O25" si="13">ROUND(N10/N$26*100,2)</f>
        <v>12.69</v>
      </c>
      <c r="P10" s="204">
        <f t="shared" si="1"/>
        <v>212</v>
      </c>
      <c r="Q10" s="195">
        <f t="shared" si="11"/>
        <v>12.85</v>
      </c>
      <c r="R10" s="203">
        <f t="shared" si="2"/>
        <v>434.20000000000005</v>
      </c>
      <c r="S10" s="195">
        <f t="shared" si="12"/>
        <v>12.77</v>
      </c>
    </row>
    <row r="11" spans="1:19" ht="18" customHeight="1">
      <c r="A11" s="197" t="s">
        <v>355</v>
      </c>
      <c r="B11" s="205">
        <v>145</v>
      </c>
      <c r="C11" s="195">
        <f t="shared" si="3"/>
        <v>10.09</v>
      </c>
      <c r="D11" s="202">
        <v>126.8</v>
      </c>
      <c r="E11" s="195">
        <f t="shared" si="4"/>
        <v>9.34</v>
      </c>
      <c r="F11" s="203">
        <f t="shared" si="5"/>
        <v>271.8</v>
      </c>
      <c r="G11" s="195">
        <f t="shared" si="6"/>
        <v>9.73</v>
      </c>
      <c r="H11" s="202">
        <v>31</v>
      </c>
      <c r="I11" s="195">
        <f t="shared" si="7"/>
        <v>9.8699999999999992</v>
      </c>
      <c r="J11" s="202">
        <v>29</v>
      </c>
      <c r="K11" s="195">
        <f t="shared" si="8"/>
        <v>9.9</v>
      </c>
      <c r="L11" s="203">
        <f t="shared" si="0"/>
        <v>60</v>
      </c>
      <c r="M11" s="195">
        <f t="shared" si="9"/>
        <v>9.89</v>
      </c>
      <c r="N11" s="204">
        <f t="shared" si="10"/>
        <v>176</v>
      </c>
      <c r="O11" s="195">
        <f t="shared" si="13"/>
        <v>10.050000000000001</v>
      </c>
      <c r="P11" s="204">
        <f t="shared" si="1"/>
        <v>155.80000000000001</v>
      </c>
      <c r="Q11" s="195">
        <f>ROUND(P11/P$26*100,2)-0.01</f>
        <v>9.43</v>
      </c>
      <c r="R11" s="203">
        <f t="shared" si="2"/>
        <v>331.8</v>
      </c>
      <c r="S11" s="195">
        <f t="shared" si="12"/>
        <v>9.76</v>
      </c>
    </row>
    <row r="12" spans="1:19" ht="18" customHeight="1">
      <c r="A12" s="197" t="s">
        <v>356</v>
      </c>
      <c r="B12" s="201">
        <v>115.2</v>
      </c>
      <c r="C12" s="195">
        <f t="shared" si="3"/>
        <v>8.02</v>
      </c>
      <c r="D12" s="202">
        <v>118.1</v>
      </c>
      <c r="E12" s="195">
        <f t="shared" si="4"/>
        <v>8.6999999999999993</v>
      </c>
      <c r="F12" s="203">
        <f t="shared" si="5"/>
        <v>233.3</v>
      </c>
      <c r="G12" s="195">
        <f t="shared" si="6"/>
        <v>8.35</v>
      </c>
      <c r="H12" s="202">
        <v>27.9</v>
      </c>
      <c r="I12" s="195">
        <f t="shared" si="7"/>
        <v>8.89</v>
      </c>
      <c r="J12" s="202">
        <v>28.4</v>
      </c>
      <c r="K12" s="195">
        <f t="shared" si="8"/>
        <v>9.69</v>
      </c>
      <c r="L12" s="203">
        <f t="shared" si="0"/>
        <v>56.3</v>
      </c>
      <c r="M12" s="195">
        <f t="shared" si="9"/>
        <v>9.2799999999999994</v>
      </c>
      <c r="N12" s="204">
        <f t="shared" si="10"/>
        <v>143.1</v>
      </c>
      <c r="O12" s="195">
        <f t="shared" si="13"/>
        <v>8.17</v>
      </c>
      <c r="P12" s="204">
        <f t="shared" si="1"/>
        <v>146.5</v>
      </c>
      <c r="Q12" s="195">
        <f t="shared" si="11"/>
        <v>8.8800000000000008</v>
      </c>
      <c r="R12" s="203">
        <f t="shared" si="2"/>
        <v>289.60000000000002</v>
      </c>
      <c r="S12" s="195">
        <f t="shared" si="12"/>
        <v>8.51</v>
      </c>
    </row>
    <row r="13" spans="1:19" ht="18" customHeight="1">
      <c r="A13" s="197" t="s">
        <v>358</v>
      </c>
      <c r="B13" s="201">
        <v>113.6</v>
      </c>
      <c r="C13" s="195">
        <f t="shared" si="3"/>
        <v>7.9</v>
      </c>
      <c r="D13" s="202">
        <v>123.6</v>
      </c>
      <c r="E13" s="195">
        <f t="shared" si="4"/>
        <v>9.11</v>
      </c>
      <c r="F13" s="203">
        <f t="shared" si="5"/>
        <v>237.2</v>
      </c>
      <c r="G13" s="195">
        <f t="shared" si="6"/>
        <v>8.49</v>
      </c>
      <c r="H13" s="202">
        <v>27.7</v>
      </c>
      <c r="I13" s="195">
        <f t="shared" si="7"/>
        <v>8.82</v>
      </c>
      <c r="J13" s="202">
        <v>29.5</v>
      </c>
      <c r="K13" s="195">
        <f t="shared" si="8"/>
        <v>10.07</v>
      </c>
      <c r="L13" s="203">
        <f t="shared" si="0"/>
        <v>57.2</v>
      </c>
      <c r="M13" s="195">
        <f t="shared" si="9"/>
        <v>9.42</v>
      </c>
      <c r="N13" s="204">
        <f t="shared" si="10"/>
        <v>141.29999999999998</v>
      </c>
      <c r="O13" s="195">
        <f t="shared" si="13"/>
        <v>8.07</v>
      </c>
      <c r="P13" s="204">
        <f t="shared" si="1"/>
        <v>153.1</v>
      </c>
      <c r="Q13" s="195">
        <f t="shared" si="11"/>
        <v>9.2799999999999994</v>
      </c>
      <c r="R13" s="203">
        <f t="shared" si="2"/>
        <v>294.39999999999998</v>
      </c>
      <c r="S13" s="195">
        <f t="shared" si="12"/>
        <v>8.66</v>
      </c>
    </row>
    <row r="14" spans="1:19" ht="18" customHeight="1">
      <c r="A14" s="197" t="s">
        <v>359</v>
      </c>
      <c r="B14" s="201">
        <v>104.6</v>
      </c>
      <c r="C14" s="195">
        <f t="shared" si="3"/>
        <v>7.28</v>
      </c>
      <c r="D14" s="202">
        <v>103.7</v>
      </c>
      <c r="E14" s="195">
        <f t="shared" si="4"/>
        <v>7.64</v>
      </c>
      <c r="F14" s="203">
        <f t="shared" si="5"/>
        <v>208.3</v>
      </c>
      <c r="G14" s="195">
        <f t="shared" si="6"/>
        <v>7.45</v>
      </c>
      <c r="H14" s="202">
        <v>25.9</v>
      </c>
      <c r="I14" s="195">
        <f t="shared" si="7"/>
        <v>8.25</v>
      </c>
      <c r="J14" s="202">
        <v>24.6</v>
      </c>
      <c r="K14" s="195">
        <f t="shared" si="8"/>
        <v>8.4</v>
      </c>
      <c r="L14" s="203">
        <f t="shared" si="0"/>
        <v>50.5</v>
      </c>
      <c r="M14" s="195">
        <f t="shared" si="9"/>
        <v>8.32</v>
      </c>
      <c r="N14" s="204">
        <f t="shared" si="10"/>
        <v>130.5</v>
      </c>
      <c r="O14" s="195">
        <f t="shared" si="13"/>
        <v>7.45</v>
      </c>
      <c r="P14" s="204">
        <f t="shared" si="1"/>
        <v>128.30000000000001</v>
      </c>
      <c r="Q14" s="195">
        <f t="shared" si="11"/>
        <v>7.78</v>
      </c>
      <c r="R14" s="203">
        <f t="shared" si="2"/>
        <v>258.8</v>
      </c>
      <c r="S14" s="195">
        <f>ROUND(R14/R$26*100,2)-0.01</f>
        <v>7.6000000000000005</v>
      </c>
    </row>
    <row r="15" spans="1:19" ht="18" customHeight="1">
      <c r="A15" s="197" t="s">
        <v>360</v>
      </c>
      <c r="B15" s="201">
        <v>109.1</v>
      </c>
      <c r="C15" s="195">
        <f t="shared" si="3"/>
        <v>7.59</v>
      </c>
      <c r="D15" s="202">
        <v>99.9</v>
      </c>
      <c r="E15" s="195">
        <f t="shared" si="4"/>
        <v>7.36</v>
      </c>
      <c r="F15" s="203">
        <f t="shared" si="5"/>
        <v>209</v>
      </c>
      <c r="G15" s="195">
        <f t="shared" si="6"/>
        <v>7.48</v>
      </c>
      <c r="H15" s="202">
        <v>25.9</v>
      </c>
      <c r="I15" s="195">
        <f t="shared" si="7"/>
        <v>8.25</v>
      </c>
      <c r="J15" s="202">
        <v>24.6</v>
      </c>
      <c r="K15" s="195">
        <f t="shared" si="8"/>
        <v>8.4</v>
      </c>
      <c r="L15" s="203">
        <f t="shared" si="0"/>
        <v>50.5</v>
      </c>
      <c r="M15" s="195">
        <f t="shared" si="9"/>
        <v>8.32</v>
      </c>
      <c r="N15" s="204">
        <f t="shared" si="10"/>
        <v>135</v>
      </c>
      <c r="O15" s="195">
        <f t="shared" si="13"/>
        <v>7.71</v>
      </c>
      <c r="P15" s="204">
        <f t="shared" si="1"/>
        <v>124.5</v>
      </c>
      <c r="Q15" s="195">
        <f t="shared" si="11"/>
        <v>7.55</v>
      </c>
      <c r="R15" s="203">
        <f t="shared" si="2"/>
        <v>259.5</v>
      </c>
      <c r="S15" s="195">
        <f t="shared" si="12"/>
        <v>7.63</v>
      </c>
    </row>
    <row r="16" spans="1:19" ht="18" customHeight="1">
      <c r="A16" s="197" t="s">
        <v>361</v>
      </c>
      <c r="B16" s="205">
        <v>85</v>
      </c>
      <c r="C16" s="195">
        <f t="shared" si="3"/>
        <v>5.91</v>
      </c>
      <c r="D16" s="202">
        <v>68.599999999999994</v>
      </c>
      <c r="E16" s="195">
        <f>ROUND(D16/D$26*100,2)+0.01</f>
        <v>5.0599999999999996</v>
      </c>
      <c r="F16" s="203">
        <f t="shared" si="5"/>
        <v>153.6</v>
      </c>
      <c r="G16" s="195">
        <f t="shared" si="6"/>
        <v>5.5</v>
      </c>
      <c r="H16" s="202">
        <v>21.9</v>
      </c>
      <c r="I16" s="195">
        <f t="shared" si="7"/>
        <v>6.97</v>
      </c>
      <c r="J16" s="202">
        <v>16.600000000000001</v>
      </c>
      <c r="K16" s="195">
        <f t="shared" si="8"/>
        <v>5.67</v>
      </c>
      <c r="L16" s="203">
        <f t="shared" si="0"/>
        <v>38.5</v>
      </c>
      <c r="M16" s="195">
        <f t="shared" si="9"/>
        <v>6.34</v>
      </c>
      <c r="N16" s="204">
        <f t="shared" si="10"/>
        <v>106.9</v>
      </c>
      <c r="O16" s="195">
        <f t="shared" si="13"/>
        <v>6.1</v>
      </c>
      <c r="P16" s="204">
        <f t="shared" si="1"/>
        <v>85.199999999999989</v>
      </c>
      <c r="Q16" s="195">
        <f t="shared" si="11"/>
        <v>5.16</v>
      </c>
      <c r="R16" s="203">
        <f t="shared" si="2"/>
        <v>192.1</v>
      </c>
      <c r="S16" s="195">
        <f t="shared" si="12"/>
        <v>5.65</v>
      </c>
    </row>
    <row r="17" spans="1:19" ht="18" customHeight="1">
      <c r="A17" s="197" t="s">
        <v>362</v>
      </c>
      <c r="B17" s="194">
        <v>70.8</v>
      </c>
      <c r="C17" s="195">
        <f t="shared" si="3"/>
        <v>4.93</v>
      </c>
      <c r="D17" s="206">
        <v>56.9</v>
      </c>
      <c r="E17" s="195">
        <f t="shared" si="4"/>
        <v>4.1900000000000004</v>
      </c>
      <c r="F17" s="203">
        <f t="shared" si="5"/>
        <v>127.69999999999999</v>
      </c>
      <c r="G17" s="195">
        <f t="shared" si="6"/>
        <v>4.57</v>
      </c>
      <c r="H17" s="206">
        <v>18.5</v>
      </c>
      <c r="I17" s="195">
        <f t="shared" si="7"/>
        <v>5.89</v>
      </c>
      <c r="J17" s="206">
        <v>14.14</v>
      </c>
      <c r="K17" s="195">
        <f t="shared" si="8"/>
        <v>4.83</v>
      </c>
      <c r="L17" s="203">
        <f t="shared" si="0"/>
        <v>32.64</v>
      </c>
      <c r="M17" s="195">
        <f t="shared" si="9"/>
        <v>5.38</v>
      </c>
      <c r="N17" s="204">
        <f t="shared" si="10"/>
        <v>89.3</v>
      </c>
      <c r="O17" s="195">
        <f>ROUND(N17/N$26*100,2)+0.01</f>
        <v>5.1099999999999994</v>
      </c>
      <c r="P17" s="204">
        <f t="shared" si="1"/>
        <v>71.039999999999992</v>
      </c>
      <c r="Q17" s="195">
        <f t="shared" si="11"/>
        <v>4.3099999999999996</v>
      </c>
      <c r="R17" s="203">
        <f t="shared" si="2"/>
        <v>160.33999999999997</v>
      </c>
      <c r="S17" s="195">
        <f t="shared" si="12"/>
        <v>4.71</v>
      </c>
    </row>
    <row r="18" spans="1:19" ht="18" customHeight="1">
      <c r="A18" s="197" t="s">
        <v>363</v>
      </c>
      <c r="B18" s="194">
        <v>45.9</v>
      </c>
      <c r="C18" s="195">
        <f t="shared" si="3"/>
        <v>3.19</v>
      </c>
      <c r="D18" s="206">
        <v>38.799999999999997</v>
      </c>
      <c r="E18" s="195">
        <f t="shared" si="4"/>
        <v>2.86</v>
      </c>
      <c r="F18" s="203">
        <f t="shared" si="5"/>
        <v>84.699999999999989</v>
      </c>
      <c r="G18" s="195">
        <f t="shared" si="6"/>
        <v>3.03</v>
      </c>
      <c r="H18" s="206">
        <v>13.2</v>
      </c>
      <c r="I18" s="195">
        <f t="shared" si="7"/>
        <v>4.2</v>
      </c>
      <c r="J18" s="206">
        <v>10.3</v>
      </c>
      <c r="K18" s="195">
        <f t="shared" si="8"/>
        <v>3.52</v>
      </c>
      <c r="L18" s="203">
        <f t="shared" si="0"/>
        <v>23.5</v>
      </c>
      <c r="M18" s="195">
        <f t="shared" si="9"/>
        <v>3.87</v>
      </c>
      <c r="N18" s="204">
        <f t="shared" si="10"/>
        <v>59.099999999999994</v>
      </c>
      <c r="O18" s="195">
        <f t="shared" si="13"/>
        <v>3.37</v>
      </c>
      <c r="P18" s="204">
        <f t="shared" si="1"/>
        <v>49.099999999999994</v>
      </c>
      <c r="Q18" s="195">
        <f t="shared" si="11"/>
        <v>2.98</v>
      </c>
      <c r="R18" s="203">
        <f t="shared" si="2"/>
        <v>108.19999999999999</v>
      </c>
      <c r="S18" s="195">
        <f>ROUND(R18/R$26*100,2)-0.01</f>
        <v>3.1700000000000004</v>
      </c>
    </row>
    <row r="19" spans="1:19" ht="18" customHeight="1">
      <c r="A19" s="197" t="s">
        <v>364</v>
      </c>
      <c r="B19" s="194">
        <v>33.5</v>
      </c>
      <c r="C19" s="195">
        <f t="shared" si="3"/>
        <v>2.33</v>
      </c>
      <c r="D19" s="206">
        <v>30.6</v>
      </c>
      <c r="E19" s="195">
        <f t="shared" si="4"/>
        <v>2.25</v>
      </c>
      <c r="F19" s="203">
        <f t="shared" si="5"/>
        <v>64.099999999999994</v>
      </c>
      <c r="G19" s="195">
        <f t="shared" si="6"/>
        <v>2.29</v>
      </c>
      <c r="H19" s="206">
        <v>9.6</v>
      </c>
      <c r="I19" s="195">
        <f t="shared" si="7"/>
        <v>3.06</v>
      </c>
      <c r="J19" s="206">
        <v>7.6</v>
      </c>
      <c r="K19" s="195">
        <f t="shared" si="8"/>
        <v>2.59</v>
      </c>
      <c r="L19" s="203">
        <f t="shared" si="0"/>
        <v>17.2</v>
      </c>
      <c r="M19" s="195">
        <f t="shared" si="9"/>
        <v>2.83</v>
      </c>
      <c r="N19" s="204">
        <f t="shared" si="10"/>
        <v>43.1</v>
      </c>
      <c r="O19" s="195">
        <f t="shared" si="13"/>
        <v>2.46</v>
      </c>
      <c r="P19" s="204">
        <f t="shared" si="1"/>
        <v>38.200000000000003</v>
      </c>
      <c r="Q19" s="195">
        <f>ROUND(P19/P$26*100,2)-0.01</f>
        <v>2.31</v>
      </c>
      <c r="R19" s="203">
        <f t="shared" si="2"/>
        <v>81.300000000000011</v>
      </c>
      <c r="S19" s="195">
        <f t="shared" si="12"/>
        <v>2.39</v>
      </c>
    </row>
    <row r="20" spans="1:19" ht="18" customHeight="1">
      <c r="A20" s="197" t="s">
        <v>365</v>
      </c>
      <c r="B20" s="194">
        <v>28.6</v>
      </c>
      <c r="C20" s="195">
        <f t="shared" si="3"/>
        <v>1.99</v>
      </c>
      <c r="D20" s="206">
        <v>28.8</v>
      </c>
      <c r="E20" s="195">
        <f t="shared" si="4"/>
        <v>2.12</v>
      </c>
      <c r="F20" s="203">
        <f t="shared" si="5"/>
        <v>57.400000000000006</v>
      </c>
      <c r="G20" s="195">
        <f t="shared" si="6"/>
        <v>2.0499999999999998</v>
      </c>
      <c r="H20" s="206">
        <v>7.6</v>
      </c>
      <c r="I20" s="195">
        <f t="shared" si="7"/>
        <v>2.42</v>
      </c>
      <c r="J20" s="206">
        <v>7.1</v>
      </c>
      <c r="K20" s="195">
        <f t="shared" si="8"/>
        <v>2.42</v>
      </c>
      <c r="L20" s="203">
        <f t="shared" si="0"/>
        <v>14.7</v>
      </c>
      <c r="M20" s="195">
        <f t="shared" si="9"/>
        <v>2.42</v>
      </c>
      <c r="N20" s="204">
        <f t="shared" si="10"/>
        <v>36.200000000000003</v>
      </c>
      <c r="O20" s="195">
        <f t="shared" si="13"/>
        <v>2.0699999999999998</v>
      </c>
      <c r="P20" s="204">
        <f t="shared" si="1"/>
        <v>35.9</v>
      </c>
      <c r="Q20" s="195">
        <f>ROUND(P20/P$26*100,2)-0.01</f>
        <v>2.1700000000000004</v>
      </c>
      <c r="R20" s="203">
        <f t="shared" si="2"/>
        <v>72.099999999999994</v>
      </c>
      <c r="S20" s="195">
        <f>ROUND(R20/R$26*100,2)</f>
        <v>2.12</v>
      </c>
    </row>
    <row r="21" spans="1:19" ht="18" customHeight="1">
      <c r="A21" s="197" t="s">
        <v>366</v>
      </c>
      <c r="B21" s="194">
        <v>21.2</v>
      </c>
      <c r="C21" s="195">
        <f t="shared" si="3"/>
        <v>1.48</v>
      </c>
      <c r="D21" s="206">
        <v>20.399999999999999</v>
      </c>
      <c r="E21" s="195">
        <f t="shared" si="4"/>
        <v>1.5</v>
      </c>
      <c r="F21" s="203">
        <f t="shared" si="5"/>
        <v>41.599999999999994</v>
      </c>
      <c r="G21" s="195">
        <f t="shared" si="6"/>
        <v>1.49</v>
      </c>
      <c r="H21" s="206">
        <v>5.6</v>
      </c>
      <c r="I21" s="195">
        <f t="shared" si="7"/>
        <v>1.78</v>
      </c>
      <c r="J21" s="206">
        <v>5.8</v>
      </c>
      <c r="K21" s="195">
        <f t="shared" si="8"/>
        <v>1.98</v>
      </c>
      <c r="L21" s="203">
        <f t="shared" si="0"/>
        <v>11.399999999999999</v>
      </c>
      <c r="M21" s="195">
        <f t="shared" si="9"/>
        <v>1.88</v>
      </c>
      <c r="N21" s="204">
        <f t="shared" si="10"/>
        <v>26.799999999999997</v>
      </c>
      <c r="O21" s="195">
        <f t="shared" si="13"/>
        <v>1.53</v>
      </c>
      <c r="P21" s="204">
        <f t="shared" si="1"/>
        <v>26.2</v>
      </c>
      <c r="Q21" s="195">
        <f t="shared" si="11"/>
        <v>1.59</v>
      </c>
      <c r="R21" s="203">
        <f t="shared" si="2"/>
        <v>53</v>
      </c>
      <c r="S21" s="195">
        <f t="shared" si="12"/>
        <v>1.56</v>
      </c>
    </row>
    <row r="22" spans="1:19" ht="18" customHeight="1">
      <c r="A22" s="197" t="s">
        <v>369</v>
      </c>
      <c r="B22" s="194">
        <v>15.2</v>
      </c>
      <c r="C22" s="195">
        <f t="shared" si="3"/>
        <v>1.06</v>
      </c>
      <c r="D22" s="206">
        <v>13.5</v>
      </c>
      <c r="E22" s="195">
        <f t="shared" si="4"/>
        <v>0.99</v>
      </c>
      <c r="F22" s="203">
        <f t="shared" si="5"/>
        <v>28.7</v>
      </c>
      <c r="G22" s="195">
        <f t="shared" si="6"/>
        <v>1.03</v>
      </c>
      <c r="H22" s="206">
        <v>4.3</v>
      </c>
      <c r="I22" s="195">
        <f t="shared" si="7"/>
        <v>1.37</v>
      </c>
      <c r="J22" s="206">
        <v>4.3</v>
      </c>
      <c r="K22" s="195">
        <f t="shared" si="8"/>
        <v>1.47</v>
      </c>
      <c r="L22" s="203">
        <f t="shared" si="0"/>
        <v>8.6</v>
      </c>
      <c r="M22" s="195">
        <f>ROUND(L22/L$26*100,2)+0.01</f>
        <v>1.43</v>
      </c>
      <c r="N22" s="204">
        <f t="shared" si="10"/>
        <v>19.5</v>
      </c>
      <c r="O22" s="195">
        <f t="shared" si="13"/>
        <v>1.1100000000000001</v>
      </c>
      <c r="P22" s="204">
        <f t="shared" si="1"/>
        <v>17.8</v>
      </c>
      <c r="Q22" s="195">
        <f t="shared" si="11"/>
        <v>1.08</v>
      </c>
      <c r="R22" s="203">
        <f t="shared" si="2"/>
        <v>37.299999999999997</v>
      </c>
      <c r="S22" s="195">
        <f t="shared" si="12"/>
        <v>1.1000000000000001</v>
      </c>
    </row>
    <row r="23" spans="1:19" ht="18" customHeight="1">
      <c r="A23" s="197" t="s">
        <v>370</v>
      </c>
      <c r="B23" s="194">
        <v>7.4</v>
      </c>
      <c r="C23" s="195">
        <f t="shared" si="3"/>
        <v>0.51</v>
      </c>
      <c r="D23" s="206">
        <v>6</v>
      </c>
      <c r="E23" s="195">
        <f>ROUND(D23/D$26*100,2)+0.01</f>
        <v>0.45</v>
      </c>
      <c r="F23" s="203">
        <f t="shared" si="5"/>
        <v>13.4</v>
      </c>
      <c r="G23" s="195">
        <f t="shared" si="6"/>
        <v>0.48</v>
      </c>
      <c r="H23" s="206">
        <v>2.2000000000000002</v>
      </c>
      <c r="I23" s="195">
        <f t="shared" si="7"/>
        <v>0.7</v>
      </c>
      <c r="J23" s="206">
        <v>2</v>
      </c>
      <c r="K23" s="195">
        <f t="shared" si="8"/>
        <v>0.68</v>
      </c>
      <c r="L23" s="203">
        <f t="shared" si="0"/>
        <v>4.2</v>
      </c>
      <c r="M23" s="195">
        <f t="shared" si="9"/>
        <v>0.69</v>
      </c>
      <c r="N23" s="204">
        <f t="shared" si="10"/>
        <v>9.6000000000000014</v>
      </c>
      <c r="O23" s="195">
        <f t="shared" si="13"/>
        <v>0.55000000000000004</v>
      </c>
      <c r="P23" s="204">
        <f t="shared" si="1"/>
        <v>8</v>
      </c>
      <c r="Q23" s="195">
        <f t="shared" si="11"/>
        <v>0.48</v>
      </c>
      <c r="R23" s="203">
        <f t="shared" si="2"/>
        <v>17.600000000000001</v>
      </c>
      <c r="S23" s="195">
        <f t="shared" si="12"/>
        <v>0.52</v>
      </c>
    </row>
    <row r="24" spans="1:19" ht="18" customHeight="1">
      <c r="A24" s="197" t="s">
        <v>371</v>
      </c>
      <c r="B24" s="194">
        <v>10.7</v>
      </c>
      <c r="C24" s="195">
        <f>ROUND(B24/B$26*100,2)</f>
        <v>0.74</v>
      </c>
      <c r="D24" s="206">
        <v>9.8000000000000007</v>
      </c>
      <c r="E24" s="195">
        <f t="shared" si="4"/>
        <v>0.72</v>
      </c>
      <c r="F24" s="203">
        <f t="shared" si="5"/>
        <v>20.5</v>
      </c>
      <c r="G24" s="195">
        <f t="shared" si="6"/>
        <v>0.73</v>
      </c>
      <c r="H24" s="206">
        <v>2.7</v>
      </c>
      <c r="I24" s="195">
        <f t="shared" si="7"/>
        <v>0.86</v>
      </c>
      <c r="J24" s="206">
        <v>2.9</v>
      </c>
      <c r="K24" s="195">
        <f t="shared" si="8"/>
        <v>0.99</v>
      </c>
      <c r="L24" s="203">
        <f t="shared" si="0"/>
        <v>5.6</v>
      </c>
      <c r="M24" s="195">
        <f t="shared" si="9"/>
        <v>0.92</v>
      </c>
      <c r="N24" s="204">
        <f t="shared" si="10"/>
        <v>13.399999999999999</v>
      </c>
      <c r="O24" s="195">
        <f t="shared" si="13"/>
        <v>0.77</v>
      </c>
      <c r="P24" s="204">
        <f t="shared" si="1"/>
        <v>12.700000000000001</v>
      </c>
      <c r="Q24" s="195">
        <f t="shared" si="11"/>
        <v>0.77</v>
      </c>
      <c r="R24" s="203">
        <f t="shared" si="2"/>
        <v>26.1</v>
      </c>
      <c r="S24" s="195">
        <f t="shared" si="12"/>
        <v>0.77</v>
      </c>
    </row>
    <row r="25" spans="1:19" ht="25.5" customHeight="1">
      <c r="A25" s="1115" t="s">
        <v>367</v>
      </c>
      <c r="B25" s="194">
        <v>2.5</v>
      </c>
      <c r="C25" s="195">
        <f t="shared" si="3"/>
        <v>0.17</v>
      </c>
      <c r="D25" s="206">
        <v>1.9</v>
      </c>
      <c r="E25" s="195">
        <f t="shared" si="4"/>
        <v>0.14000000000000001</v>
      </c>
      <c r="F25" s="203">
        <f t="shared" si="5"/>
        <v>4.4000000000000004</v>
      </c>
      <c r="G25" s="195">
        <f t="shared" si="6"/>
        <v>0.16</v>
      </c>
      <c r="H25" s="206">
        <v>0.9</v>
      </c>
      <c r="I25" s="195">
        <f t="shared" si="7"/>
        <v>0.28999999999999998</v>
      </c>
      <c r="J25" s="206">
        <v>0.6</v>
      </c>
      <c r="K25" s="195">
        <f t="shared" si="8"/>
        <v>0.2</v>
      </c>
      <c r="L25" s="203">
        <f t="shared" si="0"/>
        <v>1.5</v>
      </c>
      <c r="M25" s="195">
        <f t="shared" si="9"/>
        <v>0.25</v>
      </c>
      <c r="N25" s="204">
        <f t="shared" si="10"/>
        <v>3.4</v>
      </c>
      <c r="O25" s="195">
        <f t="shared" si="13"/>
        <v>0.19</v>
      </c>
      <c r="P25" s="204">
        <f t="shared" si="1"/>
        <v>2.5</v>
      </c>
      <c r="Q25" s="195">
        <f t="shared" si="11"/>
        <v>0.15</v>
      </c>
      <c r="R25" s="203">
        <f t="shared" si="2"/>
        <v>5.9</v>
      </c>
      <c r="S25" s="207">
        <f t="shared" si="12"/>
        <v>0.17</v>
      </c>
    </row>
    <row r="26" spans="1:19" ht="20.25" customHeight="1">
      <c r="A26" s="1094" t="s">
        <v>368</v>
      </c>
      <c r="B26" s="334">
        <f>SUM(B8:B25)</f>
        <v>1437.2000000000003</v>
      </c>
      <c r="C26" s="335">
        <f>SUM(C8:C25)</f>
        <v>100</v>
      </c>
      <c r="D26" s="334">
        <f t="shared" ref="D26:S26" si="14">SUM(D8:D25)</f>
        <v>1357.1000000000001</v>
      </c>
      <c r="E26" s="335">
        <f t="shared" si="14"/>
        <v>100</v>
      </c>
      <c r="F26" s="334">
        <f t="shared" si="14"/>
        <v>2794.2999999999993</v>
      </c>
      <c r="G26" s="335">
        <f t="shared" si="14"/>
        <v>100.00000000000001</v>
      </c>
      <c r="H26" s="334">
        <f t="shared" si="14"/>
        <v>314</v>
      </c>
      <c r="I26" s="335">
        <f t="shared" si="14"/>
        <v>100.00000000000003</v>
      </c>
      <c r="J26" s="334">
        <f t="shared" si="14"/>
        <v>292.94000000000005</v>
      </c>
      <c r="K26" s="335">
        <f t="shared" si="14"/>
        <v>100.00000000000001</v>
      </c>
      <c r="L26" s="334">
        <f t="shared" si="14"/>
        <v>606.94000000000017</v>
      </c>
      <c r="M26" s="335">
        <f t="shared" si="14"/>
        <v>100.00000000000001</v>
      </c>
      <c r="N26" s="336">
        <f t="shared" si="14"/>
        <v>1751.2</v>
      </c>
      <c r="O26" s="335">
        <f t="shared" si="14"/>
        <v>99.999999999999972</v>
      </c>
      <c r="P26" s="334">
        <f t="shared" si="14"/>
        <v>1650.04</v>
      </c>
      <c r="Q26" s="335">
        <f t="shared" si="14"/>
        <v>100.00000000000001</v>
      </c>
      <c r="R26" s="334">
        <f t="shared" si="14"/>
        <v>3401.2400000000002</v>
      </c>
      <c r="S26" s="337">
        <f t="shared" si="14"/>
        <v>99.999999999999986</v>
      </c>
    </row>
    <row r="27" spans="1:19">
      <c r="A27" s="433"/>
      <c r="B27" s="359"/>
      <c r="C27" s="359"/>
      <c r="D27" s="359"/>
      <c r="E27" s="359"/>
      <c r="F27" s="359"/>
      <c r="G27" s="359"/>
      <c r="H27" s="359"/>
      <c r="I27" s="359"/>
      <c r="J27" s="359"/>
      <c r="K27" s="359"/>
      <c r="L27" s="359"/>
      <c r="N27" s="382"/>
      <c r="O27" s="382"/>
      <c r="P27" s="382"/>
      <c r="Q27" s="382"/>
      <c r="R27" s="382"/>
      <c r="S27" s="861" t="s">
        <v>571</v>
      </c>
    </row>
    <row r="28" spans="1:19">
      <c r="S28" s="359"/>
    </row>
  </sheetData>
  <mergeCells count="15">
    <mergeCell ref="N4:S4"/>
    <mergeCell ref="J5:K5"/>
    <mergeCell ref="A1:S1"/>
    <mergeCell ref="A2:S2"/>
    <mergeCell ref="N5:O5"/>
    <mergeCell ref="P5:Q5"/>
    <mergeCell ref="R5:S5"/>
    <mergeCell ref="A4:A6"/>
    <mergeCell ref="L5:M5"/>
    <mergeCell ref="B4:G4"/>
    <mergeCell ref="D5:E5"/>
    <mergeCell ref="F5:G5"/>
    <mergeCell ref="H5:I5"/>
    <mergeCell ref="B5:C5"/>
    <mergeCell ref="H4:M4"/>
  </mergeCells>
  <phoneticPr fontId="0" type="noConversion"/>
  <printOptions horizontalCentered="1"/>
  <pageMargins left="0.1" right="0.1" top="0.65" bottom="0.1" header="0.65" footer="0.1"/>
  <pageSetup paperSize="9" orientation="landscape" blackAndWhite="1" r:id="rId1"/>
  <headerFooter alignWithMargins="0"/>
</worksheet>
</file>

<file path=xl/worksheets/sheet14.xml><?xml version="1.0" encoding="utf-8"?>
<worksheet xmlns="http://schemas.openxmlformats.org/spreadsheetml/2006/main" xmlns:r="http://schemas.openxmlformats.org/officeDocument/2006/relationships">
  <sheetPr codeName="Sheet17"/>
  <dimension ref="A1:S28"/>
  <sheetViews>
    <sheetView workbookViewId="0">
      <selection activeCell="G16" sqref="G16"/>
    </sheetView>
  </sheetViews>
  <sheetFormatPr defaultRowHeight="12.75"/>
  <cols>
    <col min="1" max="1" width="10.7109375" customWidth="1"/>
    <col min="2" max="2" width="8.5703125" customWidth="1"/>
    <col min="3" max="3" width="6.7109375" customWidth="1"/>
    <col min="4" max="4" width="8.5703125" customWidth="1"/>
    <col min="5" max="5" width="6.7109375" customWidth="1"/>
    <col min="6" max="6" width="8.5703125" customWidth="1"/>
    <col min="7" max="7" width="6.7109375" customWidth="1"/>
    <col min="8" max="8" width="8.5703125" customWidth="1"/>
    <col min="9" max="9" width="6.7109375" customWidth="1"/>
    <col min="10" max="10" width="8.5703125" customWidth="1"/>
    <col min="11" max="11" width="6.7109375" customWidth="1"/>
    <col min="12" max="12" width="8.5703125" customWidth="1"/>
    <col min="13" max="13" width="6.7109375" customWidth="1"/>
    <col min="14" max="14" width="8.5703125" customWidth="1"/>
    <col min="15" max="15" width="6.7109375" customWidth="1"/>
    <col min="16" max="16" width="8.5703125" customWidth="1"/>
    <col min="17" max="17" width="6.7109375" customWidth="1"/>
    <col min="18" max="18" width="8.5703125" customWidth="1"/>
    <col min="19" max="19" width="6.7109375" customWidth="1"/>
  </cols>
  <sheetData>
    <row r="1" spans="1:19">
      <c r="A1" s="1286" t="s">
        <v>400</v>
      </c>
      <c r="B1" s="1286"/>
      <c r="C1" s="1286"/>
      <c r="D1" s="1286"/>
      <c r="E1" s="1286"/>
      <c r="F1" s="1286"/>
      <c r="G1" s="1286"/>
      <c r="H1" s="1286"/>
      <c r="I1" s="1286"/>
      <c r="J1" s="1286"/>
      <c r="K1" s="1286"/>
      <c r="L1" s="1286"/>
      <c r="M1" s="1286"/>
      <c r="N1" s="1286"/>
      <c r="O1" s="1286"/>
      <c r="P1" s="1286"/>
      <c r="Q1" s="1286"/>
      <c r="R1" s="1286"/>
      <c r="S1" s="1286"/>
    </row>
    <row r="2" spans="1:19" ht="18" customHeight="1">
      <c r="A2" s="1287" t="str">
        <f>CONCATENATE("Distribution of Population by sex and by age group in the district of ",District!$A$1,", 2011")</f>
        <v>Distribution of Population by sex and by age group in the district of Jalpaiguri, 2011</v>
      </c>
      <c r="B2" s="1287"/>
      <c r="C2" s="1287"/>
      <c r="D2" s="1287"/>
      <c r="E2" s="1287"/>
      <c r="F2" s="1287"/>
      <c r="G2" s="1287"/>
      <c r="H2" s="1287"/>
      <c r="I2" s="1287"/>
      <c r="J2" s="1287"/>
      <c r="K2" s="1287"/>
      <c r="L2" s="1287"/>
      <c r="M2" s="1287"/>
      <c r="N2" s="1287"/>
      <c r="O2" s="1287"/>
      <c r="P2" s="1287"/>
      <c r="Q2" s="1287"/>
      <c r="R2" s="1287"/>
      <c r="S2" s="1287"/>
    </row>
    <row r="3" spans="1:19" ht="12" customHeight="1">
      <c r="A3" s="359"/>
      <c r="B3" s="432"/>
      <c r="C3" s="405"/>
      <c r="D3" s="405"/>
      <c r="E3" s="405"/>
      <c r="F3" s="405"/>
      <c r="G3" s="405"/>
      <c r="H3" s="405"/>
      <c r="I3" s="405"/>
      <c r="J3" s="405"/>
      <c r="K3" s="405"/>
      <c r="L3" s="405"/>
      <c r="M3" s="405"/>
      <c r="N3" s="405"/>
      <c r="O3" s="405"/>
      <c r="P3" s="405"/>
      <c r="Q3" s="434"/>
      <c r="R3" s="434"/>
      <c r="S3" s="1096" t="s">
        <v>800</v>
      </c>
    </row>
    <row r="4" spans="1:19" ht="15" customHeight="1">
      <c r="A4" s="1299" t="s">
        <v>342</v>
      </c>
      <c r="B4" s="1291" t="s">
        <v>1030</v>
      </c>
      <c r="C4" s="1291"/>
      <c r="D4" s="1291"/>
      <c r="E4" s="1291"/>
      <c r="F4" s="1291"/>
      <c r="G4" s="1292"/>
      <c r="H4" s="1290" t="s">
        <v>1514</v>
      </c>
      <c r="I4" s="1291"/>
      <c r="J4" s="1291"/>
      <c r="K4" s="1291"/>
      <c r="L4" s="1291"/>
      <c r="M4" s="1292"/>
      <c r="N4" s="1290" t="s">
        <v>506</v>
      </c>
      <c r="O4" s="1291"/>
      <c r="P4" s="1291"/>
      <c r="Q4" s="1291"/>
      <c r="R4" s="1291"/>
      <c r="S4" s="1292"/>
    </row>
    <row r="5" spans="1:19" ht="15" customHeight="1">
      <c r="A5" s="1398"/>
      <c r="B5" s="1397" t="s">
        <v>332</v>
      </c>
      <c r="C5" s="1396"/>
      <c r="D5" s="1395" t="s">
        <v>333</v>
      </c>
      <c r="E5" s="1396"/>
      <c r="F5" s="1397" t="s">
        <v>300</v>
      </c>
      <c r="G5" s="1396"/>
      <c r="H5" s="1395" t="s">
        <v>332</v>
      </c>
      <c r="I5" s="1396"/>
      <c r="J5" s="1395" t="s">
        <v>333</v>
      </c>
      <c r="K5" s="1396"/>
      <c r="L5" s="1397" t="s">
        <v>300</v>
      </c>
      <c r="M5" s="1396"/>
      <c r="N5" s="1395" t="s">
        <v>332</v>
      </c>
      <c r="O5" s="1396"/>
      <c r="P5" s="1395" t="s">
        <v>333</v>
      </c>
      <c r="Q5" s="1396"/>
      <c r="R5" s="1397" t="s">
        <v>300</v>
      </c>
      <c r="S5" s="1396"/>
    </row>
    <row r="6" spans="1:19" ht="15" customHeight="1">
      <c r="A6" s="1302"/>
      <c r="B6" s="198" t="s">
        <v>317</v>
      </c>
      <c r="C6" s="199" t="s">
        <v>343</v>
      </c>
      <c r="D6" s="200" t="s">
        <v>317</v>
      </c>
      <c r="E6" s="199" t="s">
        <v>343</v>
      </c>
      <c r="F6" s="198" t="s">
        <v>317</v>
      </c>
      <c r="G6" s="199" t="s">
        <v>343</v>
      </c>
      <c r="H6" s="200" t="s">
        <v>317</v>
      </c>
      <c r="I6" s="199" t="s">
        <v>343</v>
      </c>
      <c r="J6" s="200" t="s">
        <v>317</v>
      </c>
      <c r="K6" s="199" t="s">
        <v>343</v>
      </c>
      <c r="L6" s="198" t="s">
        <v>317</v>
      </c>
      <c r="M6" s="199" t="s">
        <v>343</v>
      </c>
      <c r="N6" s="200" t="s">
        <v>317</v>
      </c>
      <c r="O6" s="199" t="s">
        <v>343</v>
      </c>
      <c r="P6" s="200" t="s">
        <v>317</v>
      </c>
      <c r="Q6" s="199" t="s">
        <v>343</v>
      </c>
      <c r="R6" s="198" t="s">
        <v>317</v>
      </c>
      <c r="S6" s="199" t="s">
        <v>343</v>
      </c>
    </row>
    <row r="7" spans="1:19" ht="15" customHeight="1">
      <c r="A7" s="137" t="s">
        <v>278</v>
      </c>
      <c r="B7" s="87" t="s">
        <v>279</v>
      </c>
      <c r="C7" s="58" t="s">
        <v>280</v>
      </c>
      <c r="D7" s="92" t="s">
        <v>281</v>
      </c>
      <c r="E7" s="60" t="s">
        <v>282</v>
      </c>
      <c r="F7" s="87" t="s">
        <v>283</v>
      </c>
      <c r="G7" s="60" t="s">
        <v>284</v>
      </c>
      <c r="H7" s="92" t="s">
        <v>301</v>
      </c>
      <c r="I7" s="58" t="s">
        <v>302</v>
      </c>
      <c r="J7" s="92" t="s">
        <v>303</v>
      </c>
      <c r="K7" s="58" t="s">
        <v>304</v>
      </c>
      <c r="L7" s="87" t="s">
        <v>344</v>
      </c>
      <c r="M7" s="60" t="s">
        <v>345</v>
      </c>
      <c r="N7" s="153" t="s">
        <v>346</v>
      </c>
      <c r="O7" s="60" t="s">
        <v>347</v>
      </c>
      <c r="P7" s="153" t="s">
        <v>348</v>
      </c>
      <c r="Q7" s="60" t="s">
        <v>349</v>
      </c>
      <c r="R7" s="87" t="s">
        <v>351</v>
      </c>
      <c r="S7" s="58" t="s">
        <v>350</v>
      </c>
    </row>
    <row r="8" spans="1:19" ht="18" customHeight="1">
      <c r="A8" s="193" t="s">
        <v>352</v>
      </c>
      <c r="B8" s="181">
        <v>124296</v>
      </c>
      <c r="C8" s="195">
        <f t="shared" ref="C8:C25" si="0">ROUND(B8/B$26*100,2)</f>
        <v>8.65</v>
      </c>
      <c r="D8" s="181">
        <v>119125</v>
      </c>
      <c r="E8" s="195">
        <f>ROUND(D8/D$26*100,2)</f>
        <v>8.66</v>
      </c>
      <c r="F8" s="976">
        <f t="shared" ref="F8:F25" si="1">B8+D8</f>
        <v>243421</v>
      </c>
      <c r="G8" s="195">
        <f>ROUND(F8/F$26*100,2)+0.01</f>
        <v>8.66</v>
      </c>
      <c r="H8" s="181">
        <v>38807</v>
      </c>
      <c r="I8" s="195">
        <f t="shared" ref="I8:I25" si="2">ROUND(H8/H$26*100,2)</f>
        <v>7.11</v>
      </c>
      <c r="J8" s="181">
        <v>37212</v>
      </c>
      <c r="K8" s="195">
        <f t="shared" ref="K8:K25" si="3">ROUND(J8/J$26*100,2)</f>
        <v>7.23</v>
      </c>
      <c r="L8" s="976">
        <f t="shared" ref="L8:L25" si="4">H8+J8</f>
        <v>76019</v>
      </c>
      <c r="M8" s="195">
        <f t="shared" ref="M8:M21" si="5">ROUND(L8/L$26*100,2)</f>
        <v>7.17</v>
      </c>
      <c r="N8" s="1153">
        <f t="shared" ref="N8:N25" si="6">B8+H8</f>
        <v>163103</v>
      </c>
      <c r="O8" s="195">
        <f>ROUND(N8/N$26*100,2)+0.01</f>
        <v>8.23</v>
      </c>
      <c r="P8" s="1153">
        <f t="shared" ref="P8:P25" si="7">D8+J8</f>
        <v>156337</v>
      </c>
      <c r="Q8" s="195">
        <f>ROUND(P8/P$26*100,2)</f>
        <v>8.27</v>
      </c>
      <c r="R8" s="976">
        <f t="shared" ref="R8:R25" si="8">N8+P8</f>
        <v>319440</v>
      </c>
      <c r="S8" s="195">
        <f t="shared" ref="S8:S13" si="9">ROUND(R8/R$26*100,2)</f>
        <v>8.25</v>
      </c>
    </row>
    <row r="9" spans="1:19" ht="18" customHeight="1">
      <c r="A9" s="197" t="s">
        <v>353</v>
      </c>
      <c r="B9" s="181">
        <v>138946</v>
      </c>
      <c r="C9" s="195">
        <f t="shared" si="0"/>
        <v>9.67</v>
      </c>
      <c r="D9" s="181">
        <v>133070</v>
      </c>
      <c r="E9" s="195">
        <f t="shared" ref="E9:E15" si="10">ROUND(D9/D$26*100,2)</f>
        <v>9.68</v>
      </c>
      <c r="F9" s="976">
        <f t="shared" si="1"/>
        <v>272016</v>
      </c>
      <c r="G9" s="195">
        <f t="shared" ref="G9:G25" si="11">ROUND(F9/F$26*100,2)</f>
        <v>9.67</v>
      </c>
      <c r="H9" s="181">
        <v>45482</v>
      </c>
      <c r="I9" s="195">
        <f t="shared" si="2"/>
        <v>8.33</v>
      </c>
      <c r="J9" s="181">
        <v>42804</v>
      </c>
      <c r="K9" s="195">
        <f t="shared" si="3"/>
        <v>8.32</v>
      </c>
      <c r="L9" s="976">
        <f t="shared" si="4"/>
        <v>88286</v>
      </c>
      <c r="M9" s="195">
        <f t="shared" si="5"/>
        <v>8.33</v>
      </c>
      <c r="N9" s="1153">
        <f t="shared" si="6"/>
        <v>184428</v>
      </c>
      <c r="O9" s="195">
        <f t="shared" ref="O9:O16" si="12">ROUND(N9/N$26*100,2)</f>
        <v>9.3000000000000007</v>
      </c>
      <c r="P9" s="1153">
        <f t="shared" si="7"/>
        <v>175874</v>
      </c>
      <c r="Q9" s="195">
        <f>ROUND(P9/P$26*100,2)</f>
        <v>9.31</v>
      </c>
      <c r="R9" s="976">
        <f t="shared" si="8"/>
        <v>360302</v>
      </c>
      <c r="S9" s="195">
        <f t="shared" si="9"/>
        <v>9.3000000000000007</v>
      </c>
    </row>
    <row r="10" spans="1:19" ht="18" customHeight="1">
      <c r="A10" s="197" t="s">
        <v>354</v>
      </c>
      <c r="B10" s="181">
        <v>156282</v>
      </c>
      <c r="C10" s="195">
        <f t="shared" si="0"/>
        <v>10.87</v>
      </c>
      <c r="D10" s="181">
        <v>152069</v>
      </c>
      <c r="E10" s="195">
        <f t="shared" si="10"/>
        <v>11.06</v>
      </c>
      <c r="F10" s="976">
        <f t="shared" si="1"/>
        <v>308351</v>
      </c>
      <c r="G10" s="195">
        <f t="shared" si="11"/>
        <v>10.96</v>
      </c>
      <c r="H10" s="181">
        <v>50116</v>
      </c>
      <c r="I10" s="195">
        <f t="shared" si="2"/>
        <v>9.18</v>
      </c>
      <c r="J10" s="181">
        <v>47977</v>
      </c>
      <c r="K10" s="195">
        <f t="shared" si="3"/>
        <v>9.32</v>
      </c>
      <c r="L10" s="976">
        <f t="shared" si="4"/>
        <v>98093</v>
      </c>
      <c r="M10" s="195">
        <f t="shared" si="5"/>
        <v>9.25</v>
      </c>
      <c r="N10" s="1153">
        <f t="shared" si="6"/>
        <v>206398</v>
      </c>
      <c r="O10" s="195">
        <f t="shared" si="12"/>
        <v>10.41</v>
      </c>
      <c r="P10" s="1153">
        <f t="shared" si="7"/>
        <v>200046</v>
      </c>
      <c r="Q10" s="195">
        <f>ROUND(P10/P$26*100,2)</f>
        <v>10.59</v>
      </c>
      <c r="R10" s="976">
        <f t="shared" si="8"/>
        <v>406444</v>
      </c>
      <c r="S10" s="195">
        <f t="shared" si="9"/>
        <v>10.49</v>
      </c>
    </row>
    <row r="11" spans="1:19" ht="18" customHeight="1">
      <c r="A11" s="197" t="s">
        <v>355</v>
      </c>
      <c r="B11" s="181">
        <v>161810</v>
      </c>
      <c r="C11" s="195">
        <f t="shared" si="0"/>
        <v>11.26</v>
      </c>
      <c r="D11" s="181">
        <v>156693</v>
      </c>
      <c r="E11" s="195">
        <f t="shared" si="10"/>
        <v>11.39</v>
      </c>
      <c r="F11" s="976">
        <f t="shared" si="1"/>
        <v>318503</v>
      </c>
      <c r="G11" s="195">
        <f>ROUND(F11/F$26*100,2)+0.01</f>
        <v>11.33</v>
      </c>
      <c r="H11" s="181">
        <v>51371</v>
      </c>
      <c r="I11" s="195">
        <f t="shared" si="2"/>
        <v>9.41</v>
      </c>
      <c r="J11" s="181">
        <v>48609</v>
      </c>
      <c r="K11" s="195">
        <f t="shared" si="3"/>
        <v>9.4499999999999993</v>
      </c>
      <c r="L11" s="976">
        <f t="shared" si="4"/>
        <v>99980</v>
      </c>
      <c r="M11" s="195">
        <f t="shared" si="5"/>
        <v>9.43</v>
      </c>
      <c r="N11" s="1153">
        <f t="shared" si="6"/>
        <v>213181</v>
      </c>
      <c r="O11" s="195">
        <f t="shared" si="12"/>
        <v>10.75</v>
      </c>
      <c r="P11" s="1153">
        <f t="shared" si="7"/>
        <v>205302</v>
      </c>
      <c r="Q11" s="195">
        <f>ROUND(P11/P$26*100,2)</f>
        <v>10.86</v>
      </c>
      <c r="R11" s="976">
        <f t="shared" si="8"/>
        <v>418483</v>
      </c>
      <c r="S11" s="195">
        <f t="shared" si="9"/>
        <v>10.81</v>
      </c>
    </row>
    <row r="12" spans="1:19" ht="18" customHeight="1">
      <c r="A12" s="197" t="s">
        <v>356</v>
      </c>
      <c r="B12" s="181">
        <v>152584</v>
      </c>
      <c r="C12" s="195">
        <f t="shared" si="0"/>
        <v>10.62</v>
      </c>
      <c r="D12" s="181">
        <v>149748</v>
      </c>
      <c r="E12" s="195">
        <f t="shared" si="10"/>
        <v>10.89</v>
      </c>
      <c r="F12" s="976">
        <f t="shared" si="1"/>
        <v>302332</v>
      </c>
      <c r="G12" s="195">
        <f t="shared" si="11"/>
        <v>10.75</v>
      </c>
      <c r="H12" s="181">
        <v>51845</v>
      </c>
      <c r="I12" s="195">
        <f t="shared" si="2"/>
        <v>9.5</v>
      </c>
      <c r="J12" s="181">
        <v>52608</v>
      </c>
      <c r="K12" s="195">
        <f t="shared" si="3"/>
        <v>10.220000000000001</v>
      </c>
      <c r="L12" s="976">
        <f t="shared" si="4"/>
        <v>104453</v>
      </c>
      <c r="M12" s="195">
        <f t="shared" si="5"/>
        <v>9.85</v>
      </c>
      <c r="N12" s="1153">
        <f t="shared" si="6"/>
        <v>204429</v>
      </c>
      <c r="O12" s="195">
        <f t="shared" si="12"/>
        <v>10.31</v>
      </c>
      <c r="P12" s="1153">
        <f t="shared" si="7"/>
        <v>202356</v>
      </c>
      <c r="Q12" s="195">
        <f t="shared" ref="Q12:Q17" si="13">ROUND(P12/P$26*100,2)</f>
        <v>10.71</v>
      </c>
      <c r="R12" s="976">
        <f t="shared" si="8"/>
        <v>406785</v>
      </c>
      <c r="S12" s="195">
        <f t="shared" si="9"/>
        <v>10.5</v>
      </c>
    </row>
    <row r="13" spans="1:19" ht="18" customHeight="1">
      <c r="A13" s="197" t="s">
        <v>358</v>
      </c>
      <c r="B13" s="181">
        <v>126927</v>
      </c>
      <c r="C13" s="195">
        <f t="shared" si="0"/>
        <v>8.83</v>
      </c>
      <c r="D13" s="181">
        <v>119303</v>
      </c>
      <c r="E13" s="195">
        <f>ROUND(D13/D$26*100,2)-0.01</f>
        <v>8.67</v>
      </c>
      <c r="F13" s="976">
        <f t="shared" si="1"/>
        <v>246230</v>
      </c>
      <c r="G13" s="195">
        <f>ROUND(F13/F$26*100,2)+0.01</f>
        <v>8.76</v>
      </c>
      <c r="H13" s="181">
        <v>51912</v>
      </c>
      <c r="I13" s="195">
        <f t="shared" si="2"/>
        <v>9.51</v>
      </c>
      <c r="J13" s="181">
        <v>49911</v>
      </c>
      <c r="K13" s="195">
        <f t="shared" si="3"/>
        <v>9.6999999999999993</v>
      </c>
      <c r="L13" s="976">
        <f t="shared" si="4"/>
        <v>101823</v>
      </c>
      <c r="M13" s="195">
        <f t="shared" si="5"/>
        <v>9.6</v>
      </c>
      <c r="N13" s="1153">
        <f t="shared" si="6"/>
        <v>178839</v>
      </c>
      <c r="O13" s="195">
        <f t="shared" si="12"/>
        <v>9.02</v>
      </c>
      <c r="P13" s="1153">
        <f t="shared" si="7"/>
        <v>169214</v>
      </c>
      <c r="Q13" s="195">
        <f t="shared" si="13"/>
        <v>8.9499999999999993</v>
      </c>
      <c r="R13" s="976">
        <f t="shared" si="8"/>
        <v>348053</v>
      </c>
      <c r="S13" s="195">
        <f t="shared" si="9"/>
        <v>8.99</v>
      </c>
    </row>
    <row r="14" spans="1:19" ht="18" customHeight="1">
      <c r="A14" s="197" t="s">
        <v>359</v>
      </c>
      <c r="B14" s="181">
        <v>90347</v>
      </c>
      <c r="C14" s="195">
        <f t="shared" si="0"/>
        <v>6.29</v>
      </c>
      <c r="D14" s="181">
        <v>86372</v>
      </c>
      <c r="E14" s="195">
        <f t="shared" si="10"/>
        <v>6.28</v>
      </c>
      <c r="F14" s="976">
        <f t="shared" si="1"/>
        <v>176719</v>
      </c>
      <c r="G14" s="195">
        <f t="shared" si="11"/>
        <v>6.28</v>
      </c>
      <c r="H14" s="181">
        <v>43204</v>
      </c>
      <c r="I14" s="195">
        <f t="shared" si="2"/>
        <v>7.92</v>
      </c>
      <c r="J14" s="181">
        <v>40684</v>
      </c>
      <c r="K14" s="195">
        <f t="shared" si="3"/>
        <v>7.91</v>
      </c>
      <c r="L14" s="976">
        <f t="shared" si="4"/>
        <v>83888</v>
      </c>
      <c r="M14" s="195">
        <f t="shared" si="5"/>
        <v>7.91</v>
      </c>
      <c r="N14" s="1153">
        <f t="shared" si="6"/>
        <v>133551</v>
      </c>
      <c r="O14" s="195">
        <f>ROUND(N14/N$26*100,2)+0.01</f>
        <v>6.74</v>
      </c>
      <c r="P14" s="1153">
        <f t="shared" si="7"/>
        <v>127056</v>
      </c>
      <c r="Q14" s="195">
        <f t="shared" si="13"/>
        <v>6.72</v>
      </c>
      <c r="R14" s="976">
        <f t="shared" si="8"/>
        <v>260607</v>
      </c>
      <c r="S14" s="195">
        <f>ROUND(R14/R$26*100,2)</f>
        <v>6.73</v>
      </c>
    </row>
    <row r="15" spans="1:19" ht="18" customHeight="1">
      <c r="A15" s="197" t="s">
        <v>360</v>
      </c>
      <c r="B15" s="181">
        <v>95684</v>
      </c>
      <c r="C15" s="195">
        <f t="shared" si="0"/>
        <v>6.66</v>
      </c>
      <c r="D15" s="181">
        <v>98580</v>
      </c>
      <c r="E15" s="195">
        <f t="shared" si="10"/>
        <v>7.17</v>
      </c>
      <c r="F15" s="976">
        <f t="shared" si="1"/>
        <v>194264</v>
      </c>
      <c r="G15" s="195">
        <f t="shared" si="11"/>
        <v>6.91</v>
      </c>
      <c r="H15" s="181">
        <v>43617</v>
      </c>
      <c r="I15" s="195">
        <f t="shared" si="2"/>
        <v>7.99</v>
      </c>
      <c r="J15" s="181">
        <v>42797</v>
      </c>
      <c r="K15" s="195">
        <f t="shared" si="3"/>
        <v>8.32</v>
      </c>
      <c r="L15" s="976">
        <f t="shared" si="4"/>
        <v>86414</v>
      </c>
      <c r="M15" s="195">
        <f t="shared" si="5"/>
        <v>8.15</v>
      </c>
      <c r="N15" s="1153">
        <f t="shared" si="6"/>
        <v>139301</v>
      </c>
      <c r="O15" s="195">
        <f t="shared" si="12"/>
        <v>7.02</v>
      </c>
      <c r="P15" s="1153">
        <f t="shared" si="7"/>
        <v>141377</v>
      </c>
      <c r="Q15" s="195">
        <f t="shared" si="13"/>
        <v>7.48</v>
      </c>
      <c r="R15" s="976">
        <f t="shared" si="8"/>
        <v>280678</v>
      </c>
      <c r="S15" s="195">
        <f>ROUND(R15/R$26*100,2)</f>
        <v>7.25</v>
      </c>
    </row>
    <row r="16" spans="1:19" ht="18" customHeight="1">
      <c r="A16" s="197" t="s">
        <v>361</v>
      </c>
      <c r="B16" s="181">
        <v>92668</v>
      </c>
      <c r="C16" s="195">
        <f t="shared" si="0"/>
        <v>6.45</v>
      </c>
      <c r="D16" s="181">
        <v>94738</v>
      </c>
      <c r="E16" s="195">
        <f>ROUND(D16/D$26*100,2)</f>
        <v>6.89</v>
      </c>
      <c r="F16" s="976">
        <f t="shared" si="1"/>
        <v>187406</v>
      </c>
      <c r="G16" s="195">
        <f t="shared" si="11"/>
        <v>6.66</v>
      </c>
      <c r="H16" s="181">
        <v>39567</v>
      </c>
      <c r="I16" s="195">
        <f t="shared" si="2"/>
        <v>7.25</v>
      </c>
      <c r="J16" s="181">
        <v>36456</v>
      </c>
      <c r="K16" s="195">
        <f t="shared" si="3"/>
        <v>7.08</v>
      </c>
      <c r="L16" s="976">
        <f t="shared" si="4"/>
        <v>76023</v>
      </c>
      <c r="M16" s="195">
        <f t="shared" si="5"/>
        <v>7.17</v>
      </c>
      <c r="N16" s="1153">
        <f t="shared" si="6"/>
        <v>132235</v>
      </c>
      <c r="O16" s="195">
        <f t="shared" si="12"/>
        <v>6.67</v>
      </c>
      <c r="P16" s="1153">
        <f t="shared" si="7"/>
        <v>131194</v>
      </c>
      <c r="Q16" s="195">
        <f t="shared" si="13"/>
        <v>6.94</v>
      </c>
      <c r="R16" s="976">
        <f t="shared" si="8"/>
        <v>263429</v>
      </c>
      <c r="S16" s="195">
        <f>ROUND(R16/R$26*100,2)</f>
        <v>6.8</v>
      </c>
    </row>
    <row r="17" spans="1:19" ht="18" customHeight="1">
      <c r="A17" s="197" t="s">
        <v>362</v>
      </c>
      <c r="B17" s="181">
        <v>84352</v>
      </c>
      <c r="C17" s="195">
        <f t="shared" si="0"/>
        <v>5.87</v>
      </c>
      <c r="D17" s="181">
        <v>79310</v>
      </c>
      <c r="E17" s="195">
        <f t="shared" ref="E17:E22" si="14">ROUND(D17/D$26*100,2)</f>
        <v>5.77</v>
      </c>
      <c r="F17" s="976">
        <f t="shared" si="1"/>
        <v>163662</v>
      </c>
      <c r="G17" s="195">
        <f t="shared" si="11"/>
        <v>5.82</v>
      </c>
      <c r="H17" s="181">
        <v>35114</v>
      </c>
      <c r="I17" s="195">
        <f t="shared" si="2"/>
        <v>6.43</v>
      </c>
      <c r="J17" s="181">
        <v>31959</v>
      </c>
      <c r="K17" s="195">
        <f t="shared" si="3"/>
        <v>6.21</v>
      </c>
      <c r="L17" s="976">
        <f t="shared" si="4"/>
        <v>67073</v>
      </c>
      <c r="M17" s="195">
        <f>ROUND(L17/L$26*100,2)-0.01</f>
        <v>6.32</v>
      </c>
      <c r="N17" s="1153">
        <f t="shared" si="6"/>
        <v>119466</v>
      </c>
      <c r="O17" s="195">
        <f>ROUND(N17/N$26*100,2)</f>
        <v>6.02</v>
      </c>
      <c r="P17" s="1153">
        <f t="shared" si="7"/>
        <v>111269</v>
      </c>
      <c r="Q17" s="195">
        <f t="shared" si="13"/>
        <v>5.89</v>
      </c>
      <c r="R17" s="976">
        <f t="shared" si="8"/>
        <v>230735</v>
      </c>
      <c r="S17" s="195">
        <f>ROUND(R17/R$26*100,2)</f>
        <v>5.96</v>
      </c>
    </row>
    <row r="18" spans="1:19" ht="18" customHeight="1">
      <c r="A18" s="197" t="s">
        <v>363</v>
      </c>
      <c r="B18" s="181">
        <v>69680</v>
      </c>
      <c r="C18" s="195">
        <f t="shared" si="0"/>
        <v>4.8499999999999996</v>
      </c>
      <c r="D18" s="181">
        <v>56875</v>
      </c>
      <c r="E18" s="195">
        <f>ROUND(D18/D$26*100,2)-0.01</f>
        <v>4.13</v>
      </c>
      <c r="F18" s="976">
        <f t="shared" si="1"/>
        <v>126555</v>
      </c>
      <c r="G18" s="195">
        <f t="shared" si="11"/>
        <v>4.5</v>
      </c>
      <c r="H18" s="181">
        <v>28747</v>
      </c>
      <c r="I18" s="195">
        <f t="shared" si="2"/>
        <v>5.27</v>
      </c>
      <c r="J18" s="181">
        <v>23711</v>
      </c>
      <c r="K18" s="195">
        <f t="shared" si="3"/>
        <v>4.6100000000000003</v>
      </c>
      <c r="L18" s="976">
        <f t="shared" si="4"/>
        <v>52458</v>
      </c>
      <c r="M18" s="195">
        <f t="shared" si="5"/>
        <v>4.95</v>
      </c>
      <c r="N18" s="1153">
        <f t="shared" si="6"/>
        <v>98427</v>
      </c>
      <c r="O18" s="195">
        <f t="shared" ref="O18:O25" si="15">ROUND(N18/N$26*100,2)</f>
        <v>4.96</v>
      </c>
      <c r="P18" s="1153">
        <f t="shared" si="7"/>
        <v>80586</v>
      </c>
      <c r="Q18" s="195">
        <f>ROUND(P18/P$26*100,2)+0.01</f>
        <v>4.2699999999999996</v>
      </c>
      <c r="R18" s="976">
        <f t="shared" si="8"/>
        <v>179013</v>
      </c>
      <c r="S18" s="195">
        <f>ROUND(R18/R$26*100,2)</f>
        <v>4.62</v>
      </c>
    </row>
    <row r="19" spans="1:19" ht="18" customHeight="1">
      <c r="A19" s="197" t="s">
        <v>364</v>
      </c>
      <c r="B19" s="181">
        <v>49654</v>
      </c>
      <c r="C19" s="195">
        <f t="shared" si="0"/>
        <v>3.45</v>
      </c>
      <c r="D19" s="181">
        <v>41291</v>
      </c>
      <c r="E19" s="195">
        <f t="shared" si="14"/>
        <v>3</v>
      </c>
      <c r="F19" s="976">
        <f t="shared" si="1"/>
        <v>90945</v>
      </c>
      <c r="G19" s="195">
        <f t="shared" si="11"/>
        <v>3.23</v>
      </c>
      <c r="H19" s="181">
        <v>21295</v>
      </c>
      <c r="I19" s="195">
        <f t="shared" si="2"/>
        <v>3.9</v>
      </c>
      <c r="J19" s="181">
        <v>17672</v>
      </c>
      <c r="K19" s="195">
        <f t="shared" si="3"/>
        <v>3.43</v>
      </c>
      <c r="L19" s="976">
        <f t="shared" si="4"/>
        <v>38967</v>
      </c>
      <c r="M19" s="195">
        <f t="shared" si="5"/>
        <v>3.67</v>
      </c>
      <c r="N19" s="1153">
        <f t="shared" si="6"/>
        <v>70949</v>
      </c>
      <c r="O19" s="195">
        <f t="shared" si="15"/>
        <v>3.58</v>
      </c>
      <c r="P19" s="1153">
        <f t="shared" si="7"/>
        <v>58963</v>
      </c>
      <c r="Q19" s="195">
        <f t="shared" ref="Q19:Q25" si="16">ROUND(P19/P$26*100,2)</f>
        <v>3.12</v>
      </c>
      <c r="R19" s="976">
        <f t="shared" si="8"/>
        <v>129912</v>
      </c>
      <c r="S19" s="195">
        <f t="shared" ref="S19:S25" si="17">ROUND(R19/R$26*100,2)</f>
        <v>3.35</v>
      </c>
    </row>
    <row r="20" spans="1:19" ht="18" customHeight="1">
      <c r="A20" s="197" t="s">
        <v>365</v>
      </c>
      <c r="B20" s="181">
        <v>36303</v>
      </c>
      <c r="C20" s="195">
        <f>ROUND(B20/B$26*100,2)-0.01</f>
        <v>2.52</v>
      </c>
      <c r="D20" s="181">
        <v>32984</v>
      </c>
      <c r="E20" s="195">
        <f t="shared" si="14"/>
        <v>2.4</v>
      </c>
      <c r="F20" s="976">
        <f t="shared" si="1"/>
        <v>69287</v>
      </c>
      <c r="G20" s="195">
        <f t="shared" si="11"/>
        <v>2.46</v>
      </c>
      <c r="H20" s="181">
        <v>16483</v>
      </c>
      <c r="I20" s="195">
        <f t="shared" si="2"/>
        <v>3.02</v>
      </c>
      <c r="J20" s="181">
        <v>14751</v>
      </c>
      <c r="K20" s="195">
        <f t="shared" si="3"/>
        <v>2.87</v>
      </c>
      <c r="L20" s="976">
        <f t="shared" si="4"/>
        <v>31234</v>
      </c>
      <c r="M20" s="195">
        <f t="shared" si="5"/>
        <v>2.95</v>
      </c>
      <c r="N20" s="1153">
        <f t="shared" si="6"/>
        <v>52786</v>
      </c>
      <c r="O20" s="195">
        <f t="shared" si="15"/>
        <v>2.66</v>
      </c>
      <c r="P20" s="1153">
        <f t="shared" si="7"/>
        <v>47735</v>
      </c>
      <c r="Q20" s="195">
        <f t="shared" si="16"/>
        <v>2.5299999999999998</v>
      </c>
      <c r="R20" s="976">
        <f t="shared" si="8"/>
        <v>100521</v>
      </c>
      <c r="S20" s="195">
        <f t="shared" si="17"/>
        <v>2.6</v>
      </c>
    </row>
    <row r="21" spans="1:19" ht="18" customHeight="1">
      <c r="A21" s="197" t="s">
        <v>366</v>
      </c>
      <c r="B21" s="181">
        <v>23869</v>
      </c>
      <c r="C21" s="195">
        <f t="shared" si="0"/>
        <v>1.66</v>
      </c>
      <c r="D21" s="181">
        <v>22688</v>
      </c>
      <c r="E21" s="195">
        <f t="shared" si="14"/>
        <v>1.65</v>
      </c>
      <c r="F21" s="976">
        <f t="shared" si="1"/>
        <v>46557</v>
      </c>
      <c r="G21" s="195">
        <f t="shared" si="11"/>
        <v>1.66</v>
      </c>
      <c r="H21" s="181">
        <v>11554</v>
      </c>
      <c r="I21" s="195">
        <f t="shared" si="2"/>
        <v>2.12</v>
      </c>
      <c r="J21" s="181">
        <v>10709</v>
      </c>
      <c r="K21" s="195">
        <f t="shared" si="3"/>
        <v>2.08</v>
      </c>
      <c r="L21" s="976">
        <f t="shared" si="4"/>
        <v>22263</v>
      </c>
      <c r="M21" s="195">
        <f t="shared" si="5"/>
        <v>2.1</v>
      </c>
      <c r="N21" s="1153">
        <f t="shared" si="6"/>
        <v>35423</v>
      </c>
      <c r="O21" s="195">
        <f t="shared" si="15"/>
        <v>1.79</v>
      </c>
      <c r="P21" s="1153">
        <f t="shared" si="7"/>
        <v>33397</v>
      </c>
      <c r="Q21" s="195">
        <f t="shared" si="16"/>
        <v>1.77</v>
      </c>
      <c r="R21" s="976">
        <f t="shared" si="8"/>
        <v>68820</v>
      </c>
      <c r="S21" s="195">
        <f t="shared" si="17"/>
        <v>1.78</v>
      </c>
    </row>
    <row r="22" spans="1:19" ht="18" customHeight="1">
      <c r="A22" s="197" t="s">
        <v>369</v>
      </c>
      <c r="B22" s="181">
        <v>14973</v>
      </c>
      <c r="C22" s="195">
        <f t="shared" si="0"/>
        <v>1.04</v>
      </c>
      <c r="D22" s="181">
        <v>14391</v>
      </c>
      <c r="E22" s="195">
        <f t="shared" si="14"/>
        <v>1.05</v>
      </c>
      <c r="F22" s="976">
        <f t="shared" si="1"/>
        <v>29364</v>
      </c>
      <c r="G22" s="195">
        <f t="shared" si="11"/>
        <v>1.04</v>
      </c>
      <c r="H22" s="181">
        <v>7486</v>
      </c>
      <c r="I22" s="195">
        <f t="shared" si="2"/>
        <v>1.37</v>
      </c>
      <c r="J22" s="181">
        <v>7211</v>
      </c>
      <c r="K22" s="195">
        <f t="shared" si="3"/>
        <v>1.4</v>
      </c>
      <c r="L22" s="976">
        <f t="shared" si="4"/>
        <v>14697</v>
      </c>
      <c r="M22" s="195">
        <f>ROUND(L22/L$26*100,2)</f>
        <v>1.39</v>
      </c>
      <c r="N22" s="1153">
        <f t="shared" si="6"/>
        <v>22459</v>
      </c>
      <c r="O22" s="195">
        <f t="shared" si="15"/>
        <v>1.1299999999999999</v>
      </c>
      <c r="P22" s="1153">
        <f t="shared" si="7"/>
        <v>21602</v>
      </c>
      <c r="Q22" s="195">
        <f t="shared" si="16"/>
        <v>1.1399999999999999</v>
      </c>
      <c r="R22" s="976">
        <f t="shared" si="8"/>
        <v>44061</v>
      </c>
      <c r="S22" s="195">
        <f t="shared" si="17"/>
        <v>1.1399999999999999</v>
      </c>
    </row>
    <row r="23" spans="1:19" ht="18" customHeight="1">
      <c r="A23" s="197" t="s">
        <v>370</v>
      </c>
      <c r="B23" s="181">
        <v>8479</v>
      </c>
      <c r="C23" s="195">
        <f t="shared" si="0"/>
        <v>0.59</v>
      </c>
      <c r="D23" s="181">
        <v>7925</v>
      </c>
      <c r="E23" s="195">
        <f>ROUND(D23/D$26*100,2)</f>
        <v>0.57999999999999996</v>
      </c>
      <c r="F23" s="976">
        <f t="shared" si="1"/>
        <v>16404</v>
      </c>
      <c r="G23" s="195">
        <f t="shared" si="11"/>
        <v>0.57999999999999996</v>
      </c>
      <c r="H23" s="181">
        <v>4074</v>
      </c>
      <c r="I23" s="195">
        <f t="shared" si="2"/>
        <v>0.75</v>
      </c>
      <c r="J23" s="181">
        <v>3997</v>
      </c>
      <c r="K23" s="195">
        <f t="shared" si="3"/>
        <v>0.78</v>
      </c>
      <c r="L23" s="976">
        <f t="shared" si="4"/>
        <v>8071</v>
      </c>
      <c r="M23" s="195">
        <f>ROUND(L23/L$26*100,2)</f>
        <v>0.76</v>
      </c>
      <c r="N23" s="1153">
        <f t="shared" si="6"/>
        <v>12553</v>
      </c>
      <c r="O23" s="195">
        <f t="shared" si="15"/>
        <v>0.63</v>
      </c>
      <c r="P23" s="1153">
        <f t="shared" si="7"/>
        <v>11922</v>
      </c>
      <c r="Q23" s="195">
        <f t="shared" si="16"/>
        <v>0.63</v>
      </c>
      <c r="R23" s="976">
        <f t="shared" si="8"/>
        <v>24475</v>
      </c>
      <c r="S23" s="195">
        <f t="shared" si="17"/>
        <v>0.63</v>
      </c>
    </row>
    <row r="24" spans="1:19" ht="18" customHeight="1">
      <c r="A24" s="197" t="s">
        <v>371</v>
      </c>
      <c r="B24" s="181">
        <v>9677</v>
      </c>
      <c r="C24" s="195">
        <f t="shared" si="0"/>
        <v>0.67</v>
      </c>
      <c r="D24" s="181">
        <v>9437</v>
      </c>
      <c r="E24" s="195">
        <f>ROUND(D24/D$26*100,2)</f>
        <v>0.69</v>
      </c>
      <c r="F24" s="976">
        <f t="shared" si="1"/>
        <v>19114</v>
      </c>
      <c r="G24" s="195">
        <f t="shared" si="11"/>
        <v>0.68</v>
      </c>
      <c r="H24" s="181">
        <v>4619</v>
      </c>
      <c r="I24" s="195">
        <f t="shared" si="2"/>
        <v>0.85</v>
      </c>
      <c r="J24" s="181">
        <v>5132</v>
      </c>
      <c r="K24" s="195">
        <f t="shared" si="3"/>
        <v>1</v>
      </c>
      <c r="L24" s="976">
        <f t="shared" si="4"/>
        <v>9751</v>
      </c>
      <c r="M24" s="195">
        <f>ROUND(L24/L$26*100,2)</f>
        <v>0.92</v>
      </c>
      <c r="N24" s="1153">
        <f t="shared" si="6"/>
        <v>14296</v>
      </c>
      <c r="O24" s="195">
        <f t="shared" si="15"/>
        <v>0.72</v>
      </c>
      <c r="P24" s="1153">
        <f t="shared" si="7"/>
        <v>14569</v>
      </c>
      <c r="Q24" s="195">
        <f t="shared" si="16"/>
        <v>0.77</v>
      </c>
      <c r="R24" s="976">
        <f t="shared" si="8"/>
        <v>28865</v>
      </c>
      <c r="S24" s="195">
        <f>ROUND(R24/R$26*100,2)-0.01</f>
        <v>0.74</v>
      </c>
    </row>
    <row r="25" spans="1:19" ht="25.5" customHeight="1">
      <c r="A25" s="1115" t="s">
        <v>367</v>
      </c>
      <c r="B25" s="181">
        <v>755</v>
      </c>
      <c r="C25" s="195">
        <f t="shared" si="0"/>
        <v>0.05</v>
      </c>
      <c r="D25" s="181">
        <v>610</v>
      </c>
      <c r="E25" s="195">
        <f>ROUND(D25/D$26*100,2)</f>
        <v>0.04</v>
      </c>
      <c r="F25" s="976">
        <f t="shared" si="1"/>
        <v>1365</v>
      </c>
      <c r="G25" s="195">
        <f t="shared" si="11"/>
        <v>0.05</v>
      </c>
      <c r="H25" s="181">
        <v>485</v>
      </c>
      <c r="I25" s="195">
        <f t="shared" si="2"/>
        <v>0.09</v>
      </c>
      <c r="J25" s="181">
        <v>373</v>
      </c>
      <c r="K25" s="195">
        <f t="shared" si="3"/>
        <v>7.0000000000000007E-2</v>
      </c>
      <c r="L25" s="976">
        <f t="shared" si="4"/>
        <v>858</v>
      </c>
      <c r="M25" s="195">
        <f>ROUND(L25/L$26*100,2)</f>
        <v>0.08</v>
      </c>
      <c r="N25" s="1153">
        <f t="shared" si="6"/>
        <v>1240</v>
      </c>
      <c r="O25" s="195">
        <f t="shared" si="15"/>
        <v>0.06</v>
      </c>
      <c r="P25" s="1153">
        <f t="shared" si="7"/>
        <v>983</v>
      </c>
      <c r="Q25" s="195">
        <f t="shared" si="16"/>
        <v>0.05</v>
      </c>
      <c r="R25" s="976">
        <f t="shared" si="8"/>
        <v>2223</v>
      </c>
      <c r="S25" s="207">
        <f t="shared" si="17"/>
        <v>0.06</v>
      </c>
    </row>
    <row r="26" spans="1:19" ht="24" customHeight="1">
      <c r="A26" s="1094" t="s">
        <v>368</v>
      </c>
      <c r="B26" s="1147">
        <f t="shared" ref="B26:R26" si="18">SUM(B8:B25)</f>
        <v>1437286</v>
      </c>
      <c r="C26" s="220">
        <f>SUM(C8:C25)</f>
        <v>100</v>
      </c>
      <c r="D26" s="1147">
        <f t="shared" si="18"/>
        <v>1375209</v>
      </c>
      <c r="E26" s="220">
        <f>SUM(E8:E25)</f>
        <v>100</v>
      </c>
      <c r="F26" s="1147">
        <f t="shared" si="18"/>
        <v>2812495</v>
      </c>
      <c r="G26" s="220">
        <f>SUM(G8:G25)</f>
        <v>99.999999999999986</v>
      </c>
      <c r="H26" s="1147">
        <f t="shared" si="18"/>
        <v>545778</v>
      </c>
      <c r="I26" s="220">
        <f>SUM(I8:I25)</f>
        <v>100</v>
      </c>
      <c r="J26" s="1147">
        <f t="shared" si="18"/>
        <v>514573</v>
      </c>
      <c r="K26" s="220">
        <f>SUM(K8:K25)</f>
        <v>100</v>
      </c>
      <c r="L26" s="1147">
        <f t="shared" si="18"/>
        <v>1060351</v>
      </c>
      <c r="M26" s="220">
        <f>SUM(M8:M25)</f>
        <v>100.00000000000001</v>
      </c>
      <c r="N26" s="1148">
        <f t="shared" si="18"/>
        <v>1983064</v>
      </c>
      <c r="O26" s="220">
        <f>SUM(O8:O25)</f>
        <v>99.999999999999972</v>
      </c>
      <c r="P26" s="1147">
        <f t="shared" si="18"/>
        <v>1889782</v>
      </c>
      <c r="Q26" s="220">
        <f>SUM(Q8:Q25)</f>
        <v>99.999999999999986</v>
      </c>
      <c r="R26" s="1147">
        <f t="shared" si="18"/>
        <v>3872846</v>
      </c>
      <c r="S26" s="220">
        <f>SUM(S8:S25)</f>
        <v>99.999999999999986</v>
      </c>
    </row>
    <row r="27" spans="1:19">
      <c r="A27" s="433"/>
      <c r="B27" s="359"/>
      <c r="C27" s="359"/>
      <c r="D27" s="359"/>
      <c r="E27" s="359"/>
      <c r="F27" s="359"/>
      <c r="G27" s="359"/>
      <c r="H27" s="359"/>
      <c r="I27" s="359"/>
      <c r="J27" s="359"/>
      <c r="K27" s="359"/>
      <c r="L27" s="359"/>
      <c r="M27" s="359"/>
      <c r="N27" s="382"/>
      <c r="O27" s="382"/>
      <c r="P27" s="382"/>
      <c r="Q27" s="382"/>
      <c r="R27" s="382"/>
      <c r="S27" s="861" t="s">
        <v>770</v>
      </c>
    </row>
    <row r="28" spans="1:19">
      <c r="B28" s="359"/>
      <c r="C28" s="359"/>
      <c r="D28" s="359"/>
      <c r="E28" s="359"/>
      <c r="F28" s="359"/>
      <c r="G28" s="359"/>
      <c r="H28" s="359"/>
      <c r="I28" s="359"/>
      <c r="J28" s="359"/>
      <c r="K28" s="359"/>
      <c r="L28" s="359"/>
      <c r="M28" s="359"/>
      <c r="N28" s="359"/>
      <c r="O28" s="359"/>
      <c r="P28" s="359"/>
      <c r="Q28" s="359"/>
      <c r="R28" s="359"/>
      <c r="S28" s="359"/>
    </row>
  </sheetData>
  <mergeCells count="15">
    <mergeCell ref="A1:S1"/>
    <mergeCell ref="A2:S2"/>
    <mergeCell ref="N5:O5"/>
    <mergeCell ref="P5:Q5"/>
    <mergeCell ref="R5:S5"/>
    <mergeCell ref="L5:M5"/>
    <mergeCell ref="H4:M4"/>
    <mergeCell ref="N4:S4"/>
    <mergeCell ref="J5:K5"/>
    <mergeCell ref="B5:C5"/>
    <mergeCell ref="D5:E5"/>
    <mergeCell ref="F5:G5"/>
    <mergeCell ref="H5:I5"/>
    <mergeCell ref="A4:A6"/>
    <mergeCell ref="B4:G4"/>
  </mergeCells>
  <phoneticPr fontId="0" type="noConversion"/>
  <printOptions horizontalCentered="1"/>
  <pageMargins left="0" right="0" top="0.65" bottom="0.1" header="0.65" footer="0.1"/>
  <pageSetup paperSize="9" scale="95" orientation="landscape" blackAndWhite="1" r:id="rId1"/>
  <headerFooter alignWithMargins="0"/>
</worksheet>
</file>

<file path=xl/worksheets/sheet15.xml><?xml version="1.0" encoding="utf-8"?>
<worksheet xmlns="http://schemas.openxmlformats.org/spreadsheetml/2006/main" xmlns:r="http://schemas.openxmlformats.org/officeDocument/2006/relationships">
  <sheetPr codeName="Sheet19"/>
  <dimension ref="A1:AI61"/>
  <sheetViews>
    <sheetView topLeftCell="A4" workbookViewId="0">
      <selection activeCell="G16" sqref="G16"/>
    </sheetView>
  </sheetViews>
  <sheetFormatPr defaultRowHeight="12.75"/>
  <cols>
    <col min="1" max="1" width="22.28515625" customWidth="1"/>
    <col min="2" max="2" width="9.42578125" customWidth="1"/>
    <col min="3" max="7" width="12.5703125" customWidth="1"/>
  </cols>
  <sheetData>
    <row r="1" spans="1:35" ht="11.25" customHeight="1">
      <c r="A1" s="1286" t="s">
        <v>399</v>
      </c>
      <c r="B1" s="1286"/>
      <c r="C1" s="1286"/>
      <c r="D1" s="1286"/>
      <c r="E1" s="1286"/>
      <c r="F1" s="1286"/>
      <c r="G1" s="1286"/>
    </row>
    <row r="2" spans="1:35" ht="15.75" customHeight="1">
      <c r="A2" s="1311" t="str">
        <f>CONCATENATE("Distribution of Population by sex in different towns in the district of ",District!$A$1,", 2011")</f>
        <v>Distribution of Population by sex in different towns in the district of Jalpaiguri, 2011</v>
      </c>
      <c r="B2" s="1311"/>
      <c r="C2" s="1311"/>
      <c r="D2" s="1311"/>
      <c r="E2" s="1311"/>
      <c r="F2" s="1311"/>
      <c r="G2" s="1311"/>
    </row>
    <row r="3" spans="1:35" ht="12" customHeight="1">
      <c r="A3" s="1031"/>
      <c r="B3" s="1031"/>
      <c r="C3" s="1031"/>
      <c r="D3" s="1031"/>
      <c r="E3" s="1031"/>
      <c r="G3" s="1050" t="s">
        <v>800</v>
      </c>
    </row>
    <row r="4" spans="1:35" ht="25.5" customHeight="1">
      <c r="A4" s="1299" t="s">
        <v>372</v>
      </c>
      <c r="B4" s="1299" t="s">
        <v>841</v>
      </c>
      <c r="C4" s="1291" t="s">
        <v>790</v>
      </c>
      <c r="D4" s="1291"/>
      <c r="E4" s="1292"/>
      <c r="F4" s="1399" t="s">
        <v>1131</v>
      </c>
      <c r="G4" s="1400"/>
      <c r="H4" s="7"/>
      <c r="I4" s="7"/>
      <c r="J4" s="7"/>
      <c r="K4" s="7"/>
      <c r="L4" s="7"/>
      <c r="M4" s="7"/>
      <c r="N4" s="7"/>
      <c r="O4" s="7"/>
      <c r="P4" s="7"/>
      <c r="Q4" s="7"/>
      <c r="R4" s="7"/>
      <c r="S4" s="7"/>
      <c r="T4" s="7"/>
      <c r="U4" s="7"/>
      <c r="V4" s="7"/>
      <c r="W4" s="7"/>
      <c r="X4" s="7"/>
      <c r="Y4" s="7"/>
      <c r="Z4" s="7"/>
      <c r="AA4" s="7"/>
      <c r="AB4" s="7"/>
      <c r="AC4" s="7"/>
      <c r="AD4" s="7"/>
      <c r="AE4" s="7"/>
      <c r="AF4" s="7"/>
    </row>
    <row r="5" spans="1:35" ht="14.25" customHeight="1">
      <c r="A5" s="1302"/>
      <c r="B5" s="1398"/>
      <c r="C5" s="171" t="s">
        <v>332</v>
      </c>
      <c r="D5" s="171" t="s">
        <v>333</v>
      </c>
      <c r="E5" s="172" t="s">
        <v>300</v>
      </c>
      <c r="F5" s="369" t="s">
        <v>373</v>
      </c>
      <c r="G5" s="637" t="s">
        <v>333</v>
      </c>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3.5" customHeight="1">
      <c r="A6" s="57" t="s">
        <v>278</v>
      </c>
      <c r="B6" s="57" t="s">
        <v>279</v>
      </c>
      <c r="C6" s="87" t="s">
        <v>280</v>
      </c>
      <c r="D6" s="87" t="s">
        <v>281</v>
      </c>
      <c r="E6" s="58" t="s">
        <v>282</v>
      </c>
      <c r="F6" s="92" t="s">
        <v>283</v>
      </c>
      <c r="G6" s="58" t="s">
        <v>284</v>
      </c>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5.75" customHeight="1">
      <c r="A7" s="174" t="s">
        <v>11</v>
      </c>
      <c r="B7" s="1141" t="s">
        <v>269</v>
      </c>
      <c r="C7" s="209">
        <f>SUM(C8:C19)</f>
        <v>351167</v>
      </c>
      <c r="D7" s="209">
        <f>SUM(D8:D19)</f>
        <v>337126</v>
      </c>
      <c r="E7" s="211">
        <f t="shared" ref="E7:E38" si="0">C7+D7</f>
        <v>688293</v>
      </c>
      <c r="F7" s="212">
        <f t="shared" ref="F7:F50" si="1">ROUND(C7/E7*100,2)</f>
        <v>51.02</v>
      </c>
      <c r="G7" s="213">
        <f t="shared" ref="G7:G50" si="2">ROUND(D7/E7*100,2)</f>
        <v>48.98</v>
      </c>
    </row>
    <row r="8" spans="1:35" ht="15.75" customHeight="1">
      <c r="A8" s="78" t="s">
        <v>12</v>
      </c>
      <c r="B8" s="133" t="s">
        <v>22</v>
      </c>
      <c r="C8" s="181">
        <v>7965</v>
      </c>
      <c r="D8" s="181">
        <v>7687</v>
      </c>
      <c r="E8" s="216">
        <f t="shared" si="0"/>
        <v>15652</v>
      </c>
      <c r="F8" s="217">
        <f t="shared" si="1"/>
        <v>50.89</v>
      </c>
      <c r="G8" s="195">
        <f t="shared" si="2"/>
        <v>49.11</v>
      </c>
      <c r="I8" s="1145"/>
    </row>
    <row r="9" spans="1:35" ht="15.75" customHeight="1">
      <c r="A9" s="78" t="s">
        <v>14</v>
      </c>
      <c r="B9" s="133" t="s">
        <v>22</v>
      </c>
      <c r="C9" s="181">
        <v>3827</v>
      </c>
      <c r="D9" s="181">
        <v>3750</v>
      </c>
      <c r="E9" s="216">
        <f t="shared" si="0"/>
        <v>7577</v>
      </c>
      <c r="F9" s="217">
        <f t="shared" si="1"/>
        <v>50.51</v>
      </c>
      <c r="G9" s="195">
        <f t="shared" si="2"/>
        <v>49.49</v>
      </c>
      <c r="I9" s="1145"/>
    </row>
    <row r="10" spans="1:35" ht="15.75" customHeight="1">
      <c r="A10" s="78" t="s">
        <v>1149</v>
      </c>
      <c r="B10" s="133" t="s">
        <v>23</v>
      </c>
      <c r="C10" s="181">
        <v>53708</v>
      </c>
      <c r="D10" s="181">
        <v>53633</v>
      </c>
      <c r="E10" s="216">
        <f t="shared" si="0"/>
        <v>107341</v>
      </c>
      <c r="F10" s="217">
        <f t="shared" si="1"/>
        <v>50.03</v>
      </c>
      <c r="G10" s="195">
        <f t="shared" si="2"/>
        <v>49.97</v>
      </c>
      <c r="I10" s="1145"/>
    </row>
    <row r="11" spans="1:35" ht="15.75" customHeight="1">
      <c r="A11" s="78" t="s">
        <v>549</v>
      </c>
      <c r="B11" s="133" t="s">
        <v>22</v>
      </c>
      <c r="C11" s="181">
        <v>15487</v>
      </c>
      <c r="D11" s="181">
        <v>15003</v>
      </c>
      <c r="E11" s="216">
        <f t="shared" si="0"/>
        <v>30490</v>
      </c>
      <c r="F11" s="217">
        <f t="shared" si="1"/>
        <v>50.79</v>
      </c>
      <c r="G11" s="195">
        <f t="shared" si="2"/>
        <v>49.21</v>
      </c>
      <c r="I11" s="1145"/>
    </row>
    <row r="12" spans="1:35" ht="15.75" customHeight="1">
      <c r="A12" s="78" t="s">
        <v>550</v>
      </c>
      <c r="B12" s="133" t="s">
        <v>23</v>
      </c>
      <c r="C12" s="181">
        <v>22953</v>
      </c>
      <c r="D12" s="181">
        <v>21766</v>
      </c>
      <c r="E12" s="216">
        <f t="shared" si="0"/>
        <v>44719</v>
      </c>
      <c r="F12" s="217">
        <f t="shared" si="1"/>
        <v>51.33</v>
      </c>
      <c r="G12" s="195">
        <f t="shared" si="2"/>
        <v>48.67</v>
      </c>
      <c r="I12" s="1145"/>
    </row>
    <row r="13" spans="1:35" ht="15.75" customHeight="1">
      <c r="A13" s="78" t="s">
        <v>842</v>
      </c>
      <c r="B13" s="133" t="s">
        <v>268</v>
      </c>
      <c r="C13" s="181">
        <v>112167</v>
      </c>
      <c r="D13" s="181">
        <v>106551</v>
      </c>
      <c r="E13" s="216">
        <f t="shared" si="0"/>
        <v>218718</v>
      </c>
      <c r="F13" s="217">
        <f t="shared" si="1"/>
        <v>51.28</v>
      </c>
      <c r="G13" s="195">
        <f t="shared" si="2"/>
        <v>48.72</v>
      </c>
      <c r="I13" s="1145"/>
    </row>
    <row r="14" spans="1:35" ht="15.75" customHeight="1">
      <c r="A14" s="304" t="s">
        <v>43</v>
      </c>
      <c r="B14" s="133" t="s">
        <v>22</v>
      </c>
      <c r="C14" s="181">
        <v>61078</v>
      </c>
      <c r="D14" s="181">
        <v>57962</v>
      </c>
      <c r="E14" s="216">
        <f t="shared" si="0"/>
        <v>119040</v>
      </c>
      <c r="F14" s="217">
        <f t="shared" si="1"/>
        <v>51.31</v>
      </c>
      <c r="G14" s="195">
        <f t="shared" si="2"/>
        <v>48.69</v>
      </c>
      <c r="I14" s="1145"/>
    </row>
    <row r="15" spans="1:35" ht="15.75" customHeight="1">
      <c r="A15" s="304" t="s">
        <v>771</v>
      </c>
      <c r="B15" s="133" t="s">
        <v>22</v>
      </c>
      <c r="C15" s="181">
        <v>30258</v>
      </c>
      <c r="D15" s="181">
        <v>28582</v>
      </c>
      <c r="E15" s="216">
        <f t="shared" si="0"/>
        <v>58840</v>
      </c>
      <c r="F15" s="217">
        <f t="shared" si="1"/>
        <v>51.42</v>
      </c>
      <c r="G15" s="195">
        <f t="shared" si="2"/>
        <v>48.58</v>
      </c>
      <c r="I15" s="1145"/>
    </row>
    <row r="16" spans="1:35" ht="15.75" customHeight="1">
      <c r="A16" s="304" t="s">
        <v>44</v>
      </c>
      <c r="B16" s="133" t="s">
        <v>22</v>
      </c>
      <c r="C16" s="181">
        <v>5708</v>
      </c>
      <c r="D16" s="181">
        <v>5827</v>
      </c>
      <c r="E16" s="216">
        <f t="shared" si="0"/>
        <v>11535</v>
      </c>
      <c r="F16" s="217">
        <f t="shared" si="1"/>
        <v>49.48</v>
      </c>
      <c r="G16" s="195">
        <f t="shared" si="2"/>
        <v>50.52</v>
      </c>
      <c r="I16" s="1145"/>
    </row>
    <row r="17" spans="1:9" ht="15.75" customHeight="1">
      <c r="A17" s="304" t="s">
        <v>273</v>
      </c>
      <c r="B17" s="1154" t="s">
        <v>22</v>
      </c>
      <c r="C17" s="181">
        <v>3786</v>
      </c>
      <c r="D17" s="181">
        <v>3683</v>
      </c>
      <c r="E17" s="216">
        <f t="shared" si="0"/>
        <v>7469</v>
      </c>
      <c r="F17" s="217">
        <f t="shared" si="1"/>
        <v>50.69</v>
      </c>
      <c r="G17" s="195">
        <f t="shared" si="2"/>
        <v>49.31</v>
      </c>
      <c r="I17" s="8"/>
    </row>
    <row r="18" spans="1:9" ht="15.75" customHeight="1">
      <c r="A18" s="420" t="s">
        <v>45</v>
      </c>
      <c r="B18" s="1142" t="s">
        <v>22</v>
      </c>
      <c r="C18" s="181">
        <v>31510</v>
      </c>
      <c r="D18" s="181">
        <v>30151</v>
      </c>
      <c r="E18" s="216">
        <f t="shared" si="0"/>
        <v>61661</v>
      </c>
      <c r="F18" s="217">
        <f t="shared" si="1"/>
        <v>51.1</v>
      </c>
      <c r="G18" s="195">
        <f t="shared" si="2"/>
        <v>48.9</v>
      </c>
      <c r="I18" s="1140"/>
    </row>
    <row r="19" spans="1:9" ht="15.75" customHeight="1">
      <c r="A19" s="304" t="s">
        <v>772</v>
      </c>
      <c r="B19" s="133" t="s">
        <v>22</v>
      </c>
      <c r="C19" s="181">
        <v>2720</v>
      </c>
      <c r="D19" s="181">
        <v>2531</v>
      </c>
      <c r="E19" s="216">
        <f t="shared" si="0"/>
        <v>5251</v>
      </c>
      <c r="F19" s="217">
        <f t="shared" si="1"/>
        <v>51.8</v>
      </c>
      <c r="G19" s="195">
        <f t="shared" si="2"/>
        <v>48.2</v>
      </c>
      <c r="I19" s="1145"/>
    </row>
    <row r="20" spans="1:9" ht="15.75" customHeight="1">
      <c r="A20" s="180" t="s">
        <v>15</v>
      </c>
      <c r="B20" s="1143" t="s">
        <v>270</v>
      </c>
      <c r="C20" s="210">
        <f>SUM(C21:C27)</f>
        <v>32671</v>
      </c>
      <c r="D20" s="210">
        <f>SUM(D21:D27)</f>
        <v>31841</v>
      </c>
      <c r="E20" s="211">
        <f t="shared" si="0"/>
        <v>64512</v>
      </c>
      <c r="F20" s="212">
        <f t="shared" si="1"/>
        <v>50.64</v>
      </c>
      <c r="G20" s="213">
        <f t="shared" si="2"/>
        <v>49.36</v>
      </c>
    </row>
    <row r="21" spans="1:9" ht="15.75" customHeight="1">
      <c r="A21" s="78" t="s">
        <v>552</v>
      </c>
      <c r="B21" s="133" t="s">
        <v>23</v>
      </c>
      <c r="C21" s="181">
        <v>12814</v>
      </c>
      <c r="D21" s="181">
        <v>12404</v>
      </c>
      <c r="E21" s="216">
        <f t="shared" si="0"/>
        <v>25218</v>
      </c>
      <c r="F21" s="217">
        <f t="shared" si="1"/>
        <v>50.81</v>
      </c>
      <c r="G21" s="195">
        <f t="shared" si="2"/>
        <v>49.19</v>
      </c>
    </row>
    <row r="22" spans="1:9" ht="15.75" customHeight="1">
      <c r="A22" s="304" t="s">
        <v>773</v>
      </c>
      <c r="B22" s="133" t="s">
        <v>22</v>
      </c>
      <c r="C22" s="181">
        <v>7182</v>
      </c>
      <c r="D22" s="181">
        <v>7012</v>
      </c>
      <c r="E22" s="216">
        <f t="shared" si="0"/>
        <v>14194</v>
      </c>
      <c r="F22" s="217">
        <f t="shared" si="1"/>
        <v>50.6</v>
      </c>
      <c r="G22" s="195">
        <f t="shared" si="2"/>
        <v>49.4</v>
      </c>
    </row>
    <row r="23" spans="1:9" ht="15.75" customHeight="1">
      <c r="A23" s="304" t="s">
        <v>774</v>
      </c>
      <c r="B23" s="133" t="s">
        <v>22</v>
      </c>
      <c r="C23" s="181">
        <v>2525</v>
      </c>
      <c r="D23" s="181">
        <v>2472</v>
      </c>
      <c r="E23" s="216">
        <f t="shared" si="0"/>
        <v>4997</v>
      </c>
      <c r="F23" s="217">
        <f t="shared" si="1"/>
        <v>50.53</v>
      </c>
      <c r="G23" s="195">
        <f t="shared" si="2"/>
        <v>49.47</v>
      </c>
    </row>
    <row r="24" spans="1:9" ht="15.75" customHeight="1">
      <c r="A24" s="304" t="s">
        <v>775</v>
      </c>
      <c r="B24" s="133" t="s">
        <v>22</v>
      </c>
      <c r="C24" s="181">
        <v>2517</v>
      </c>
      <c r="D24" s="181">
        <v>2464</v>
      </c>
      <c r="E24" s="216">
        <f t="shared" si="0"/>
        <v>4981</v>
      </c>
      <c r="F24" s="217">
        <f t="shared" si="1"/>
        <v>50.53</v>
      </c>
      <c r="G24" s="195">
        <f t="shared" si="2"/>
        <v>49.47</v>
      </c>
    </row>
    <row r="25" spans="1:9" ht="15.75" customHeight="1">
      <c r="A25" s="304" t="s">
        <v>1189</v>
      </c>
      <c r="B25" s="133" t="s">
        <v>22</v>
      </c>
      <c r="C25" s="181">
        <v>2200</v>
      </c>
      <c r="D25" s="181">
        <v>2015</v>
      </c>
      <c r="E25" s="216">
        <f t="shared" si="0"/>
        <v>4215</v>
      </c>
      <c r="F25" s="217">
        <f t="shared" si="1"/>
        <v>52.19</v>
      </c>
      <c r="G25" s="195">
        <f t="shared" si="2"/>
        <v>47.81</v>
      </c>
    </row>
    <row r="26" spans="1:9" ht="15.75" customHeight="1">
      <c r="A26" s="304" t="s">
        <v>776</v>
      </c>
      <c r="B26" s="133" t="s">
        <v>22</v>
      </c>
      <c r="C26" s="181">
        <v>2461</v>
      </c>
      <c r="D26" s="181">
        <v>2512</v>
      </c>
      <c r="E26" s="216">
        <f t="shared" si="0"/>
        <v>4973</v>
      </c>
      <c r="F26" s="217">
        <f t="shared" si="1"/>
        <v>49.49</v>
      </c>
      <c r="G26" s="195">
        <f t="shared" si="2"/>
        <v>50.51</v>
      </c>
    </row>
    <row r="27" spans="1:9" ht="15.75" customHeight="1">
      <c r="A27" s="304" t="s">
        <v>777</v>
      </c>
      <c r="B27" s="214" t="s">
        <v>22</v>
      </c>
      <c r="C27" s="31">
        <v>2972</v>
      </c>
      <c r="D27" s="31">
        <v>2962</v>
      </c>
      <c r="E27" s="216">
        <f t="shared" si="0"/>
        <v>5934</v>
      </c>
      <c r="F27" s="585">
        <f t="shared" si="1"/>
        <v>50.08</v>
      </c>
      <c r="G27" s="195">
        <f t="shared" si="2"/>
        <v>49.92</v>
      </c>
    </row>
    <row r="28" spans="1:9" ht="15.75" customHeight="1">
      <c r="A28" s="180" t="s">
        <v>337</v>
      </c>
      <c r="B28" s="1143" t="s">
        <v>271</v>
      </c>
      <c r="C28" s="210">
        <f>SUM(C29:C49)</f>
        <v>161940</v>
      </c>
      <c r="D28" s="210">
        <f>SUM(D29:D49)</f>
        <v>145606</v>
      </c>
      <c r="E28" s="211">
        <f t="shared" si="0"/>
        <v>307546</v>
      </c>
      <c r="F28" s="212">
        <f t="shared" si="1"/>
        <v>52.66</v>
      </c>
      <c r="G28" s="213">
        <f t="shared" si="2"/>
        <v>47.34</v>
      </c>
    </row>
    <row r="29" spans="1:9" ht="15.75" customHeight="1">
      <c r="A29" s="78" t="s">
        <v>1190</v>
      </c>
      <c r="B29" s="133" t="s">
        <v>22</v>
      </c>
      <c r="C29" s="181">
        <v>21668</v>
      </c>
      <c r="D29" s="181">
        <v>20586</v>
      </c>
      <c r="E29" s="216">
        <f t="shared" si="0"/>
        <v>42254</v>
      </c>
      <c r="F29" s="217">
        <f t="shared" si="1"/>
        <v>51.28</v>
      </c>
      <c r="G29" s="195">
        <f t="shared" si="2"/>
        <v>48.72</v>
      </c>
    </row>
    <row r="30" spans="1:9" ht="15.75" customHeight="1">
      <c r="A30" s="78" t="s">
        <v>16</v>
      </c>
      <c r="B30" s="133" t="s">
        <v>22</v>
      </c>
      <c r="C30" s="181">
        <v>8225</v>
      </c>
      <c r="D30" s="181">
        <v>8125</v>
      </c>
      <c r="E30" s="216">
        <f t="shared" si="0"/>
        <v>16350</v>
      </c>
      <c r="F30" s="217">
        <f t="shared" si="1"/>
        <v>50.31</v>
      </c>
      <c r="G30" s="195">
        <f t="shared" si="2"/>
        <v>49.69</v>
      </c>
    </row>
    <row r="31" spans="1:9" ht="15.75" customHeight="1">
      <c r="A31" s="78" t="s">
        <v>557</v>
      </c>
      <c r="B31" s="133" t="s">
        <v>22</v>
      </c>
      <c r="C31" s="181">
        <v>10022</v>
      </c>
      <c r="D31" s="181">
        <v>9694</v>
      </c>
      <c r="E31" s="216">
        <f t="shared" si="0"/>
        <v>19716</v>
      </c>
      <c r="F31" s="217">
        <f t="shared" si="1"/>
        <v>50.83</v>
      </c>
      <c r="G31" s="195">
        <f t="shared" si="2"/>
        <v>49.17</v>
      </c>
    </row>
    <row r="32" spans="1:9" ht="15.75" customHeight="1">
      <c r="A32" s="78" t="s">
        <v>17</v>
      </c>
      <c r="B32" s="133" t="s">
        <v>22</v>
      </c>
      <c r="C32" s="181">
        <v>7189</v>
      </c>
      <c r="D32" s="181">
        <v>7145</v>
      </c>
      <c r="E32" s="216">
        <f t="shared" si="0"/>
        <v>14334</v>
      </c>
      <c r="F32" s="217">
        <f t="shared" si="1"/>
        <v>50.15</v>
      </c>
      <c r="G32" s="195">
        <f t="shared" si="2"/>
        <v>49.85</v>
      </c>
    </row>
    <row r="33" spans="1:7" ht="15.75" customHeight="1">
      <c r="A33" s="78" t="s">
        <v>18</v>
      </c>
      <c r="B33" s="133" t="s">
        <v>22</v>
      </c>
      <c r="C33" s="181">
        <v>3870</v>
      </c>
      <c r="D33" s="181">
        <v>3743</v>
      </c>
      <c r="E33" s="216">
        <f t="shared" si="0"/>
        <v>7613</v>
      </c>
      <c r="F33" s="217">
        <f t="shared" si="1"/>
        <v>50.83</v>
      </c>
      <c r="G33" s="195">
        <f t="shared" si="2"/>
        <v>49.17</v>
      </c>
    </row>
    <row r="34" spans="1:7" ht="15.75" customHeight="1">
      <c r="A34" s="78" t="s">
        <v>1216</v>
      </c>
      <c r="B34" s="133" t="s">
        <v>22</v>
      </c>
      <c r="C34" s="181">
        <v>5373</v>
      </c>
      <c r="D34" s="181">
        <v>5360</v>
      </c>
      <c r="E34" s="216">
        <f t="shared" si="0"/>
        <v>10733</v>
      </c>
      <c r="F34" s="217">
        <f t="shared" si="1"/>
        <v>50.06</v>
      </c>
      <c r="G34" s="195">
        <f t="shared" si="2"/>
        <v>49.94</v>
      </c>
    </row>
    <row r="35" spans="1:7" ht="15.75" customHeight="1">
      <c r="A35" s="78" t="s">
        <v>19</v>
      </c>
      <c r="B35" s="133" t="s">
        <v>22</v>
      </c>
      <c r="C35" s="181">
        <v>6461</v>
      </c>
      <c r="D35" s="181">
        <v>6209</v>
      </c>
      <c r="E35" s="216">
        <f t="shared" si="0"/>
        <v>12670</v>
      </c>
      <c r="F35" s="217">
        <f t="shared" si="1"/>
        <v>50.99</v>
      </c>
      <c r="G35" s="195">
        <f t="shared" si="2"/>
        <v>49.01</v>
      </c>
    </row>
    <row r="36" spans="1:7" ht="15.75" customHeight="1">
      <c r="A36" s="78" t="s">
        <v>558</v>
      </c>
      <c r="B36" s="133" t="s">
        <v>23</v>
      </c>
      <c r="C36" s="181">
        <v>33137</v>
      </c>
      <c r="D36" s="181">
        <v>32095</v>
      </c>
      <c r="E36" s="216">
        <f t="shared" si="0"/>
        <v>65232</v>
      </c>
      <c r="F36" s="217">
        <f t="shared" si="1"/>
        <v>50.8</v>
      </c>
      <c r="G36" s="195">
        <f t="shared" si="2"/>
        <v>49.2</v>
      </c>
    </row>
    <row r="37" spans="1:7" ht="15.75" customHeight="1">
      <c r="A37" s="78" t="s">
        <v>20</v>
      </c>
      <c r="B37" s="133" t="s">
        <v>22</v>
      </c>
      <c r="C37" s="181">
        <v>2862</v>
      </c>
      <c r="D37" s="181">
        <v>2626</v>
      </c>
      <c r="E37" s="216">
        <f t="shared" si="0"/>
        <v>5488</v>
      </c>
      <c r="F37" s="217">
        <f t="shared" si="1"/>
        <v>52.15</v>
      </c>
      <c r="G37" s="195">
        <f t="shared" si="2"/>
        <v>47.85</v>
      </c>
    </row>
    <row r="38" spans="1:7" ht="15.75" customHeight="1">
      <c r="A38" s="78" t="s">
        <v>21</v>
      </c>
      <c r="B38" s="133" t="s">
        <v>22</v>
      </c>
      <c r="C38" s="181">
        <v>6132</v>
      </c>
      <c r="D38" s="181">
        <v>5890</v>
      </c>
      <c r="E38" s="216">
        <f t="shared" si="0"/>
        <v>12022</v>
      </c>
      <c r="F38" s="217">
        <f t="shared" si="1"/>
        <v>51.01</v>
      </c>
      <c r="G38" s="195">
        <f t="shared" si="2"/>
        <v>48.99</v>
      </c>
    </row>
    <row r="39" spans="1:7" ht="15.75" customHeight="1">
      <c r="A39" s="304" t="s">
        <v>778</v>
      </c>
      <c r="B39" s="133" t="s">
        <v>22</v>
      </c>
      <c r="C39" s="31">
        <v>2116</v>
      </c>
      <c r="D39" s="31">
        <v>2014</v>
      </c>
      <c r="E39" s="216">
        <f t="shared" ref="E39:E49" si="3">C39+D39</f>
        <v>4130</v>
      </c>
      <c r="F39" s="217">
        <f t="shared" si="1"/>
        <v>51.23</v>
      </c>
      <c r="G39" s="195">
        <f t="shared" si="2"/>
        <v>48.77</v>
      </c>
    </row>
    <row r="40" spans="1:7" ht="15.75" customHeight="1">
      <c r="A40" s="304" t="s">
        <v>779</v>
      </c>
      <c r="B40" s="133" t="s">
        <v>22</v>
      </c>
      <c r="C40" s="31">
        <v>4889</v>
      </c>
      <c r="D40" s="31">
        <v>4742</v>
      </c>
      <c r="E40" s="216">
        <f t="shared" si="3"/>
        <v>9631</v>
      </c>
      <c r="F40" s="217">
        <f t="shared" si="1"/>
        <v>50.76</v>
      </c>
      <c r="G40" s="195">
        <f t="shared" si="2"/>
        <v>49.24</v>
      </c>
    </row>
    <row r="41" spans="1:7" ht="15.75" customHeight="1">
      <c r="A41" s="304" t="s">
        <v>780</v>
      </c>
      <c r="B41" s="133" t="s">
        <v>22</v>
      </c>
      <c r="C41" s="31">
        <v>4898</v>
      </c>
      <c r="D41" s="31">
        <v>4694</v>
      </c>
      <c r="E41" s="216">
        <f t="shared" si="3"/>
        <v>9592</v>
      </c>
      <c r="F41" s="217">
        <f t="shared" si="1"/>
        <v>51.06</v>
      </c>
      <c r="G41" s="195">
        <f t="shared" si="2"/>
        <v>48.94</v>
      </c>
    </row>
    <row r="42" spans="1:7" ht="15.75" customHeight="1">
      <c r="A42" s="304" t="s">
        <v>781</v>
      </c>
      <c r="B42" s="133" t="s">
        <v>22</v>
      </c>
      <c r="C42" s="31">
        <v>14405</v>
      </c>
      <c r="D42" s="31">
        <v>4049</v>
      </c>
      <c r="E42" s="216">
        <f t="shared" si="3"/>
        <v>18454</v>
      </c>
      <c r="F42" s="217">
        <f t="shared" si="1"/>
        <v>78.06</v>
      </c>
      <c r="G42" s="195">
        <f t="shared" si="2"/>
        <v>21.94</v>
      </c>
    </row>
    <row r="43" spans="1:7" ht="15.75" customHeight="1">
      <c r="A43" s="304" t="s">
        <v>782</v>
      </c>
      <c r="B43" s="133" t="s">
        <v>22</v>
      </c>
      <c r="C43" s="181">
        <v>3706</v>
      </c>
      <c r="D43" s="181">
        <v>3431</v>
      </c>
      <c r="E43" s="216">
        <f t="shared" si="3"/>
        <v>7137</v>
      </c>
      <c r="F43" s="217">
        <f t="shared" si="1"/>
        <v>51.93</v>
      </c>
      <c r="G43" s="195">
        <f t="shared" si="2"/>
        <v>48.07</v>
      </c>
    </row>
    <row r="44" spans="1:7" ht="15.75" customHeight="1">
      <c r="A44" s="304" t="s">
        <v>264</v>
      </c>
      <c r="B44" s="133" t="s">
        <v>22</v>
      </c>
      <c r="C44" s="181">
        <v>3350</v>
      </c>
      <c r="D44" s="181">
        <v>3124</v>
      </c>
      <c r="E44" s="216">
        <f t="shared" si="3"/>
        <v>6474</v>
      </c>
      <c r="F44" s="217">
        <f t="shared" si="1"/>
        <v>51.75</v>
      </c>
      <c r="G44" s="195">
        <f t="shared" si="2"/>
        <v>48.25</v>
      </c>
    </row>
    <row r="45" spans="1:7" ht="15.75" customHeight="1">
      <c r="A45" s="304" t="s">
        <v>265</v>
      </c>
      <c r="B45" s="133" t="s">
        <v>22</v>
      </c>
      <c r="C45" s="181">
        <v>4633</v>
      </c>
      <c r="D45" s="181">
        <v>4330</v>
      </c>
      <c r="E45" s="216">
        <f t="shared" si="3"/>
        <v>8963</v>
      </c>
      <c r="F45" s="217">
        <f t="shared" si="1"/>
        <v>51.69</v>
      </c>
      <c r="G45" s="195">
        <f t="shared" si="2"/>
        <v>48.31</v>
      </c>
    </row>
    <row r="46" spans="1:7" ht="15.75" customHeight="1">
      <c r="A46" s="304" t="s">
        <v>267</v>
      </c>
      <c r="B46" s="133" t="s">
        <v>22</v>
      </c>
      <c r="C46" s="181">
        <v>5930</v>
      </c>
      <c r="D46" s="181">
        <v>5478</v>
      </c>
      <c r="E46" s="216">
        <f t="shared" si="3"/>
        <v>11408</v>
      </c>
      <c r="F46" s="217">
        <f t="shared" si="1"/>
        <v>51.98</v>
      </c>
      <c r="G46" s="195">
        <f t="shared" si="2"/>
        <v>48.02</v>
      </c>
    </row>
    <row r="47" spans="1:7" ht="15.75" customHeight="1">
      <c r="A47" s="304" t="s">
        <v>783</v>
      </c>
      <c r="B47" s="133" t="s">
        <v>22</v>
      </c>
      <c r="C47" s="181">
        <v>3298</v>
      </c>
      <c r="D47" s="181">
        <v>3094</v>
      </c>
      <c r="E47" s="216">
        <f t="shared" si="3"/>
        <v>6392</v>
      </c>
      <c r="F47" s="217">
        <f t="shared" si="1"/>
        <v>51.6</v>
      </c>
      <c r="G47" s="195">
        <f t="shared" si="2"/>
        <v>48.4</v>
      </c>
    </row>
    <row r="48" spans="1:7" ht="15.75" customHeight="1">
      <c r="A48" s="304" t="s">
        <v>559</v>
      </c>
      <c r="B48" s="133" t="s">
        <v>22</v>
      </c>
      <c r="C48" s="181">
        <v>4169</v>
      </c>
      <c r="D48" s="181">
        <v>3963</v>
      </c>
      <c r="E48" s="216">
        <f t="shared" si="3"/>
        <v>8132</v>
      </c>
      <c r="F48" s="217">
        <f t="shared" si="1"/>
        <v>51.27</v>
      </c>
      <c r="G48" s="195">
        <f t="shared" si="2"/>
        <v>48.73</v>
      </c>
    </row>
    <row r="49" spans="1:7" ht="15.75" customHeight="1">
      <c r="A49" s="304" t="s">
        <v>263</v>
      </c>
      <c r="B49" s="133" t="s">
        <v>22</v>
      </c>
      <c r="C49" s="181">
        <v>5607</v>
      </c>
      <c r="D49" s="181">
        <v>5214</v>
      </c>
      <c r="E49" s="216">
        <f t="shared" si="3"/>
        <v>10821</v>
      </c>
      <c r="F49" s="217">
        <f t="shared" si="1"/>
        <v>51.82</v>
      </c>
      <c r="G49" s="195">
        <f t="shared" si="2"/>
        <v>48.18</v>
      </c>
    </row>
    <row r="50" spans="1:7" ht="15.75" customHeight="1">
      <c r="A50" s="218" t="s">
        <v>1469</v>
      </c>
      <c r="B50" s="1144" t="s">
        <v>272</v>
      </c>
      <c r="C50" s="1146">
        <f>SUM(C7,C20,C28)</f>
        <v>545778</v>
      </c>
      <c r="D50" s="1146">
        <f>SUM(D7,D20,D28)</f>
        <v>514573</v>
      </c>
      <c r="E50" s="1146">
        <f>SUM(E7,E20,E28)</f>
        <v>1060351</v>
      </c>
      <c r="F50" s="219">
        <f t="shared" si="1"/>
        <v>51.47</v>
      </c>
      <c r="G50" s="220">
        <f t="shared" si="2"/>
        <v>48.53</v>
      </c>
    </row>
    <row r="51" spans="1:7">
      <c r="A51" s="499"/>
      <c r="B51" s="404"/>
      <c r="C51" s="404"/>
      <c r="D51" s="404"/>
      <c r="F51" s="383"/>
      <c r="G51" s="886" t="s">
        <v>770</v>
      </c>
    </row>
    <row r="52" spans="1:7">
      <c r="A52" s="359"/>
      <c r="B52" s="359"/>
      <c r="C52" s="359"/>
      <c r="D52" s="359"/>
      <c r="E52" s="359"/>
      <c r="F52" s="359"/>
      <c r="G52" s="359"/>
    </row>
    <row r="53" spans="1:7">
      <c r="A53" s="359"/>
      <c r="B53" s="359"/>
      <c r="C53" s="359"/>
      <c r="D53" s="359"/>
      <c r="E53" s="359"/>
      <c r="F53" s="359"/>
      <c r="G53" s="359"/>
    </row>
    <row r="54" spans="1:7">
      <c r="A54" s="359"/>
      <c r="C54" s="359"/>
      <c r="D54" s="359"/>
      <c r="E54" s="359"/>
      <c r="F54" s="359"/>
      <c r="G54" s="359"/>
    </row>
    <row r="55" spans="1:7">
      <c r="A55" s="359"/>
      <c r="B55" s="359"/>
      <c r="C55" s="359"/>
      <c r="D55" s="359"/>
      <c r="E55" s="359"/>
      <c r="F55" s="359"/>
      <c r="G55" s="359"/>
    </row>
    <row r="56" spans="1:7">
      <c r="A56" s="359"/>
      <c r="B56" s="359"/>
      <c r="C56" s="359"/>
      <c r="D56" s="359"/>
      <c r="E56" s="359"/>
      <c r="F56" s="359"/>
      <c r="G56" s="359"/>
    </row>
    <row r="57" spans="1:7">
      <c r="A57" s="359"/>
      <c r="B57" s="359"/>
      <c r="C57" s="359"/>
      <c r="D57" s="359"/>
      <c r="E57" s="359"/>
      <c r="F57" s="359"/>
      <c r="G57" s="359"/>
    </row>
    <row r="58" spans="1:7">
      <c r="A58" s="359"/>
      <c r="B58" s="359"/>
      <c r="C58" s="359"/>
      <c r="D58" s="359"/>
      <c r="E58" s="359"/>
      <c r="F58" s="359"/>
      <c r="G58" s="359"/>
    </row>
    <row r="59" spans="1:7">
      <c r="A59" s="359"/>
      <c r="B59" s="359"/>
      <c r="C59" s="359"/>
      <c r="D59" s="359"/>
      <c r="E59" s="359"/>
      <c r="F59" s="359"/>
      <c r="G59" s="359"/>
    </row>
    <row r="60" spans="1:7">
      <c r="A60" s="359"/>
      <c r="B60" s="359"/>
      <c r="C60" s="359"/>
      <c r="D60" s="359"/>
      <c r="E60" s="359"/>
      <c r="F60" s="359"/>
      <c r="G60" s="359"/>
    </row>
    <row r="61" spans="1:7">
      <c r="A61" s="359"/>
      <c r="B61" s="359"/>
      <c r="C61" s="359"/>
      <c r="D61" s="359"/>
      <c r="E61" s="359"/>
      <c r="F61" s="359"/>
      <c r="G61" s="359"/>
    </row>
  </sheetData>
  <mergeCells count="6">
    <mergeCell ref="A1:G1"/>
    <mergeCell ref="A2:G2"/>
    <mergeCell ref="A4:A5"/>
    <mergeCell ref="F4:G4"/>
    <mergeCell ref="C4:E4"/>
    <mergeCell ref="B4:B5"/>
  </mergeCells>
  <phoneticPr fontId="0" type="noConversion"/>
  <printOptions horizontalCentered="1" verticalCentered="1"/>
  <pageMargins left="0.1" right="0.1" top="0.36" bottom="0.1" header="0.5" footer="0.1"/>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sheetPr codeName="Sheet39"/>
  <dimension ref="A1:R33"/>
  <sheetViews>
    <sheetView topLeftCell="A7" workbookViewId="0">
      <selection activeCell="G16" sqref="G16"/>
    </sheetView>
  </sheetViews>
  <sheetFormatPr defaultRowHeight="12.75"/>
  <cols>
    <col min="1" max="1" width="16.5703125" style="12" customWidth="1"/>
    <col min="2" max="2" width="8.5703125" style="12" customWidth="1"/>
    <col min="3" max="3" width="6.7109375" style="12" customWidth="1"/>
    <col min="4" max="4" width="7" style="12" customWidth="1"/>
    <col min="5" max="5" width="6.7109375" style="12" bestFit="1" customWidth="1"/>
    <col min="6" max="7" width="7.28515625" style="12" customWidth="1"/>
    <col min="8" max="8" width="6.85546875" style="12" customWidth="1"/>
    <col min="9" max="9" width="7.5703125" style="12" customWidth="1"/>
    <col min="10" max="10" width="7" style="12" customWidth="1"/>
    <col min="11" max="11" width="7.5703125" style="12" customWidth="1"/>
    <col min="12" max="12" width="7.85546875" style="12" customWidth="1"/>
    <col min="13" max="13" width="5.5703125" style="12" customWidth="1"/>
    <col min="14" max="14" width="7.42578125" style="12" customWidth="1"/>
    <col min="15" max="15" width="6.7109375" style="12" customWidth="1"/>
    <col min="16" max="16" width="7.7109375" style="12" customWidth="1"/>
    <col min="17" max="17" width="6.140625" style="12" customWidth="1"/>
    <col min="18" max="18" width="9.42578125" style="12" customWidth="1"/>
    <col min="19" max="16384" width="9.140625" style="12"/>
  </cols>
  <sheetData>
    <row r="1" spans="1:18" ht="12.75" customHeight="1">
      <c r="A1" s="1393" t="s">
        <v>401</v>
      </c>
      <c r="B1" s="1393"/>
      <c r="C1" s="1393"/>
      <c r="D1" s="1393"/>
      <c r="E1" s="1393"/>
      <c r="F1" s="1393"/>
      <c r="G1" s="1393"/>
      <c r="H1" s="1393"/>
      <c r="I1" s="1393"/>
      <c r="J1" s="1393"/>
      <c r="K1" s="1393"/>
      <c r="L1" s="1393"/>
      <c r="M1" s="1393"/>
      <c r="N1" s="1393"/>
      <c r="O1" s="1393"/>
      <c r="P1" s="1393"/>
      <c r="Q1" s="1393"/>
      <c r="R1" s="1393"/>
    </row>
    <row r="2" spans="1:18" ht="16.5">
      <c r="A2" s="1394" t="str">
        <f>CONCATENATE(" Distribution of Population over different categories of workers and non-workers in the district of ",District!$A$1,", 2011")</f>
        <v xml:space="preserve"> Distribution of Population over different categories of workers and non-workers in the district of Jalpaiguri, 2011</v>
      </c>
      <c r="B2" s="1394"/>
      <c r="C2" s="1394"/>
      <c r="D2" s="1394"/>
      <c r="E2" s="1394"/>
      <c r="F2" s="1394"/>
      <c r="G2" s="1394"/>
      <c r="H2" s="1394"/>
      <c r="I2" s="1394"/>
      <c r="J2" s="1394"/>
      <c r="K2" s="1394"/>
      <c r="L2" s="1394"/>
      <c r="M2" s="1394"/>
      <c r="N2" s="1394"/>
      <c r="O2" s="1394"/>
      <c r="P2" s="1394"/>
      <c r="Q2" s="1394"/>
      <c r="R2" s="1394"/>
    </row>
    <row r="3" spans="1:18" ht="12" customHeight="1">
      <c r="B3" s="13"/>
      <c r="C3" s="13"/>
      <c r="D3" s="13"/>
      <c r="E3" s="13"/>
      <c r="F3" s="13"/>
      <c r="G3" s="13"/>
      <c r="H3" s="13"/>
      <c r="I3" s="13"/>
      <c r="J3" s="13"/>
      <c r="K3" s="13"/>
      <c r="L3" s="13"/>
      <c r="M3" s="13"/>
      <c r="N3" s="13"/>
      <c r="O3" s="13"/>
      <c r="P3" s="13"/>
      <c r="Q3" s="13"/>
      <c r="R3" s="1048" t="s">
        <v>800</v>
      </c>
    </row>
    <row r="4" spans="1:18" ht="12.75" customHeight="1">
      <c r="A4" s="221"/>
      <c r="B4" s="1401" t="s">
        <v>1515</v>
      </c>
      <c r="C4" s="1402"/>
      <c r="D4" s="1403" t="s">
        <v>377</v>
      </c>
      <c r="E4" s="1401"/>
      <c r="F4" s="1401"/>
      <c r="G4" s="1401"/>
      <c r="H4" s="1401"/>
      <c r="I4" s="1401"/>
      <c r="J4" s="1401"/>
      <c r="K4" s="1402"/>
      <c r="L4" s="1403" t="s">
        <v>504</v>
      </c>
      <c r="M4" s="1402"/>
      <c r="N4" s="1403" t="s">
        <v>505</v>
      </c>
      <c r="O4" s="1402"/>
      <c r="P4" s="1403" t="s">
        <v>119</v>
      </c>
      <c r="Q4" s="1402"/>
      <c r="R4" s="1299" t="s">
        <v>506</v>
      </c>
    </row>
    <row r="5" spans="1:18" ht="23.25" customHeight="1">
      <c r="A5" s="1398" t="s">
        <v>844</v>
      </c>
      <c r="B5" s="1414" t="s">
        <v>374</v>
      </c>
      <c r="C5" s="1404" t="s">
        <v>343</v>
      </c>
      <c r="D5" s="1408" t="s">
        <v>376</v>
      </c>
      <c r="E5" s="1409"/>
      <c r="F5" s="1410" t="s">
        <v>382</v>
      </c>
      <c r="G5" s="1411"/>
      <c r="H5" s="1412" t="s">
        <v>1013</v>
      </c>
      <c r="I5" s="1413"/>
      <c r="J5" s="1408" t="s">
        <v>383</v>
      </c>
      <c r="K5" s="1409"/>
      <c r="L5" s="1406" t="s">
        <v>374</v>
      </c>
      <c r="M5" s="1404" t="s">
        <v>343</v>
      </c>
      <c r="N5" s="1406" t="s">
        <v>374</v>
      </c>
      <c r="O5" s="1404" t="s">
        <v>343</v>
      </c>
      <c r="P5" s="1406" t="s">
        <v>374</v>
      </c>
      <c r="Q5" s="1404" t="s">
        <v>343</v>
      </c>
      <c r="R5" s="1398"/>
    </row>
    <row r="6" spans="1:18" ht="15" customHeight="1">
      <c r="A6" s="1302"/>
      <c r="B6" s="1415"/>
      <c r="C6" s="1405"/>
      <c r="D6" s="1161" t="s">
        <v>101</v>
      </c>
      <c r="E6" s="1162" t="s">
        <v>375</v>
      </c>
      <c r="F6" s="1161" t="s">
        <v>101</v>
      </c>
      <c r="G6" s="1162" t="s">
        <v>375</v>
      </c>
      <c r="H6" s="1161" t="s">
        <v>101</v>
      </c>
      <c r="I6" s="1162" t="s">
        <v>375</v>
      </c>
      <c r="J6" s="1161" t="s">
        <v>101</v>
      </c>
      <c r="K6" s="1162" t="s">
        <v>375</v>
      </c>
      <c r="L6" s="1407"/>
      <c r="M6" s="1405"/>
      <c r="N6" s="1407"/>
      <c r="O6" s="1405"/>
      <c r="P6" s="1407"/>
      <c r="Q6" s="1405"/>
      <c r="R6" s="1302"/>
    </row>
    <row r="7" spans="1:18" ht="15" customHeight="1">
      <c r="A7" s="57" t="s">
        <v>278</v>
      </c>
      <c r="B7" s="87" t="s">
        <v>279</v>
      </c>
      <c r="C7" s="953" t="s">
        <v>280</v>
      </c>
      <c r="D7" s="92" t="s">
        <v>281</v>
      </c>
      <c r="E7" s="953" t="s">
        <v>282</v>
      </c>
      <c r="F7" s="92" t="s">
        <v>283</v>
      </c>
      <c r="G7" s="953" t="s">
        <v>284</v>
      </c>
      <c r="H7" s="92" t="s">
        <v>301</v>
      </c>
      <c r="I7" s="953" t="s">
        <v>302</v>
      </c>
      <c r="J7" s="92" t="s">
        <v>303</v>
      </c>
      <c r="K7" s="953" t="s">
        <v>304</v>
      </c>
      <c r="L7" s="92" t="s">
        <v>344</v>
      </c>
      <c r="M7" s="58" t="s">
        <v>345</v>
      </c>
      <c r="N7" s="92" t="s">
        <v>346</v>
      </c>
      <c r="O7" s="58" t="s">
        <v>347</v>
      </c>
      <c r="P7" s="92" t="s">
        <v>348</v>
      </c>
      <c r="Q7" s="58" t="s">
        <v>349</v>
      </c>
      <c r="R7" s="57" t="s">
        <v>351</v>
      </c>
    </row>
    <row r="8" spans="1:18" s="40" customFormat="1" ht="18" customHeight="1">
      <c r="A8" s="174" t="s">
        <v>547</v>
      </c>
      <c r="B8" s="223">
        <f>D8+F8+H8+J8</f>
        <v>698547</v>
      </c>
      <c r="C8" s="213">
        <f>ROUND(B8/$R8*100,2)</f>
        <v>38.549999999999997</v>
      </c>
      <c r="D8" s="224">
        <f>SUM(D9:D15)</f>
        <v>108784</v>
      </c>
      <c r="E8" s="213">
        <f>ROUND(D8/$B8*100,2)</f>
        <v>15.57</v>
      </c>
      <c r="F8" s="224">
        <f>SUM(F9:F15)</f>
        <v>167765</v>
      </c>
      <c r="G8" s="213">
        <f t="shared" ref="G8:G29" si="0">ROUND(F8/$B8*100,2)</f>
        <v>24.02</v>
      </c>
      <c r="H8" s="224">
        <f>SUM(H9:H15)</f>
        <v>13761</v>
      </c>
      <c r="I8" s="213">
        <f t="shared" ref="I8:I29" si="1">ROUND(H8/$B8*100,2)</f>
        <v>1.97</v>
      </c>
      <c r="J8" s="224">
        <f>SUM(J9:J15)</f>
        <v>408237</v>
      </c>
      <c r="K8" s="213">
        <f t="shared" ref="K8:K28" si="2">ROUND(J8/$B8*100,2)</f>
        <v>58.44</v>
      </c>
      <c r="L8" s="224">
        <f>SUM(L9:L15)</f>
        <v>549345</v>
      </c>
      <c r="M8" s="213">
        <f t="shared" ref="M8:M28" si="3">ROUND(L8/$R8*100,2)</f>
        <v>30.32</v>
      </c>
      <c r="N8" s="224">
        <f>SUM(N9:N15)</f>
        <v>149202</v>
      </c>
      <c r="O8" s="213">
        <f t="shared" ref="O8:O15" si="4">ROUND(N8/$R8*100,2)</f>
        <v>8.23</v>
      </c>
      <c r="P8" s="224">
        <f>SUM(P9:P15)</f>
        <v>1113338</v>
      </c>
      <c r="Q8" s="213">
        <f t="shared" ref="Q8:Q29" si="5">ROUND(P8/$R8*100,2)</f>
        <v>61.45</v>
      </c>
      <c r="R8" s="579">
        <f>P8+N8+L8</f>
        <v>1811885</v>
      </c>
    </row>
    <row r="9" spans="1:18" s="40" customFormat="1" ht="18" customHeight="1">
      <c r="A9" s="780" t="s">
        <v>561</v>
      </c>
      <c r="B9" s="225">
        <f t="shared" ref="B9:B29" si="6">D9+F9+H9+J9</f>
        <v>140212</v>
      </c>
      <c r="C9" s="195">
        <f t="shared" ref="C9:C29" si="7">ROUND(B9/$R9*100,2)</f>
        <v>37.51</v>
      </c>
      <c r="D9" s="226">
        <v>14800</v>
      </c>
      <c r="E9" s="195">
        <f t="shared" ref="E9:E29" si="8">ROUND(D9/$B9*100,2)</f>
        <v>10.56</v>
      </c>
      <c r="F9" s="226">
        <v>21150</v>
      </c>
      <c r="G9" s="195">
        <f t="shared" si="0"/>
        <v>15.08</v>
      </c>
      <c r="H9" s="226">
        <v>4640</v>
      </c>
      <c r="I9" s="195">
        <f t="shared" si="1"/>
        <v>3.31</v>
      </c>
      <c r="J9" s="226">
        <v>99622</v>
      </c>
      <c r="K9" s="195">
        <f t="shared" si="2"/>
        <v>71.05</v>
      </c>
      <c r="L9" s="226">
        <v>111956</v>
      </c>
      <c r="M9" s="195">
        <f t="shared" si="3"/>
        <v>29.95</v>
      </c>
      <c r="N9" s="226">
        <v>28256</v>
      </c>
      <c r="O9" s="195">
        <f t="shared" si="4"/>
        <v>7.56</v>
      </c>
      <c r="P9" s="226">
        <v>233564</v>
      </c>
      <c r="Q9" s="195">
        <f t="shared" si="5"/>
        <v>62.49</v>
      </c>
      <c r="R9" s="227">
        <f t="shared" ref="R9:R29" si="9">P9+N9+L9</f>
        <v>373776</v>
      </c>
    </row>
    <row r="10" spans="1:18" s="40" customFormat="1" ht="18" customHeight="1">
      <c r="A10" s="780" t="s">
        <v>1149</v>
      </c>
      <c r="B10" s="225">
        <f t="shared" si="6"/>
        <v>136454</v>
      </c>
      <c r="C10" s="195">
        <f t="shared" si="7"/>
        <v>42.19</v>
      </c>
      <c r="D10" s="226">
        <v>27859</v>
      </c>
      <c r="E10" s="195">
        <f t="shared" si="8"/>
        <v>20.420000000000002</v>
      </c>
      <c r="F10" s="226">
        <v>46547</v>
      </c>
      <c r="G10" s="195">
        <f t="shared" si="0"/>
        <v>34.11</v>
      </c>
      <c r="H10" s="226">
        <v>1417</v>
      </c>
      <c r="I10" s="195">
        <f t="shared" si="1"/>
        <v>1.04</v>
      </c>
      <c r="J10" s="226">
        <v>60631</v>
      </c>
      <c r="K10" s="195">
        <f t="shared" si="2"/>
        <v>44.43</v>
      </c>
      <c r="L10" s="226">
        <v>101045</v>
      </c>
      <c r="M10" s="195">
        <f t="shared" si="3"/>
        <v>31.24</v>
      </c>
      <c r="N10" s="226">
        <v>35409</v>
      </c>
      <c r="O10" s="195">
        <f t="shared" si="4"/>
        <v>10.95</v>
      </c>
      <c r="P10" s="226">
        <v>186991</v>
      </c>
      <c r="Q10" s="195">
        <f t="shared" si="5"/>
        <v>57.81</v>
      </c>
      <c r="R10" s="227">
        <f t="shared" si="9"/>
        <v>323445</v>
      </c>
    </row>
    <row r="11" spans="1:18" s="40" customFormat="1" ht="18" customHeight="1">
      <c r="A11" s="780" t="s">
        <v>562</v>
      </c>
      <c r="B11" s="225">
        <f t="shared" si="6"/>
        <v>37291</v>
      </c>
      <c r="C11" s="195">
        <f t="shared" si="7"/>
        <v>34.74</v>
      </c>
      <c r="D11" s="226">
        <v>274</v>
      </c>
      <c r="E11" s="195">
        <f t="shared" si="8"/>
        <v>0.73</v>
      </c>
      <c r="F11" s="226">
        <v>113</v>
      </c>
      <c r="G11" s="195">
        <f t="shared" si="0"/>
        <v>0.3</v>
      </c>
      <c r="H11" s="226">
        <v>351</v>
      </c>
      <c r="I11" s="195">
        <f t="shared" si="1"/>
        <v>0.94</v>
      </c>
      <c r="J11" s="226">
        <v>36553</v>
      </c>
      <c r="K11" s="195">
        <f t="shared" si="2"/>
        <v>98.02</v>
      </c>
      <c r="L11" s="226">
        <v>35072</v>
      </c>
      <c r="M11" s="195">
        <f t="shared" si="3"/>
        <v>32.67</v>
      </c>
      <c r="N11" s="226">
        <v>2219</v>
      </c>
      <c r="O11" s="195">
        <f t="shared" si="4"/>
        <v>2.0699999999999998</v>
      </c>
      <c r="P11" s="226">
        <v>70050</v>
      </c>
      <c r="Q11" s="195">
        <f t="shared" si="5"/>
        <v>65.260000000000005</v>
      </c>
      <c r="R11" s="227">
        <f t="shared" si="9"/>
        <v>107341</v>
      </c>
    </row>
    <row r="12" spans="1:18" s="40" customFormat="1" ht="18" customHeight="1">
      <c r="A12" s="780" t="s">
        <v>549</v>
      </c>
      <c r="B12" s="225">
        <f t="shared" si="6"/>
        <v>120291</v>
      </c>
      <c r="C12" s="195">
        <f t="shared" si="7"/>
        <v>36.56</v>
      </c>
      <c r="D12" s="226">
        <v>35952</v>
      </c>
      <c r="E12" s="195">
        <f t="shared" si="8"/>
        <v>29.89</v>
      </c>
      <c r="F12" s="226">
        <v>42247</v>
      </c>
      <c r="G12" s="195">
        <f t="shared" si="0"/>
        <v>35.119999999999997</v>
      </c>
      <c r="H12" s="226">
        <v>2068</v>
      </c>
      <c r="I12" s="195">
        <f t="shared" si="1"/>
        <v>1.72</v>
      </c>
      <c r="J12" s="226">
        <v>40024</v>
      </c>
      <c r="K12" s="195">
        <f t="shared" si="2"/>
        <v>33.270000000000003</v>
      </c>
      <c r="L12" s="226">
        <v>95835</v>
      </c>
      <c r="M12" s="195">
        <f t="shared" si="3"/>
        <v>29.13</v>
      </c>
      <c r="N12" s="226">
        <v>24456</v>
      </c>
      <c r="O12" s="195">
        <f t="shared" si="4"/>
        <v>7.43</v>
      </c>
      <c r="P12" s="226">
        <v>208741</v>
      </c>
      <c r="Q12" s="195">
        <f t="shared" si="5"/>
        <v>63.44</v>
      </c>
      <c r="R12" s="227">
        <f t="shared" si="9"/>
        <v>329032</v>
      </c>
    </row>
    <row r="13" spans="1:18" s="40" customFormat="1" ht="18" customHeight="1">
      <c r="A13" s="780" t="s">
        <v>550</v>
      </c>
      <c r="B13" s="225">
        <f t="shared" si="6"/>
        <v>168302</v>
      </c>
      <c r="C13" s="195">
        <f t="shared" si="7"/>
        <v>40.57</v>
      </c>
      <c r="D13" s="226">
        <v>28443</v>
      </c>
      <c r="E13" s="195">
        <f t="shared" si="8"/>
        <v>16.899999999999999</v>
      </c>
      <c r="F13" s="226">
        <v>55850</v>
      </c>
      <c r="G13" s="195">
        <f t="shared" si="0"/>
        <v>33.18</v>
      </c>
      <c r="H13" s="226">
        <v>2370</v>
      </c>
      <c r="I13" s="195">
        <f t="shared" si="1"/>
        <v>1.41</v>
      </c>
      <c r="J13" s="226">
        <v>81639</v>
      </c>
      <c r="K13" s="195">
        <f t="shared" si="2"/>
        <v>48.51</v>
      </c>
      <c r="L13" s="226">
        <v>120974</v>
      </c>
      <c r="M13" s="195">
        <f t="shared" si="3"/>
        <v>29.16</v>
      </c>
      <c r="N13" s="226">
        <v>47328</v>
      </c>
      <c r="O13" s="195">
        <f t="shared" si="4"/>
        <v>11.41</v>
      </c>
      <c r="P13" s="226">
        <v>246552</v>
      </c>
      <c r="Q13" s="195">
        <f>ROUND(P13/$R13*100,2)</f>
        <v>59.43</v>
      </c>
      <c r="R13" s="227">
        <f t="shared" si="9"/>
        <v>414854</v>
      </c>
    </row>
    <row r="14" spans="1:18" s="40" customFormat="1" ht="18" customHeight="1">
      <c r="A14" s="780" t="s">
        <v>563</v>
      </c>
      <c r="B14" s="225">
        <f t="shared" si="6"/>
        <v>16474</v>
      </c>
      <c r="C14" s="195">
        <f t="shared" si="7"/>
        <v>36.840000000000003</v>
      </c>
      <c r="D14" s="226">
        <v>937</v>
      </c>
      <c r="E14" s="195">
        <f t="shared" si="8"/>
        <v>5.69</v>
      </c>
      <c r="F14" s="226">
        <v>1602</v>
      </c>
      <c r="G14" s="195">
        <f t="shared" si="0"/>
        <v>9.7200000000000006</v>
      </c>
      <c r="H14" s="226">
        <v>489</v>
      </c>
      <c r="I14" s="195">
        <f t="shared" si="1"/>
        <v>2.97</v>
      </c>
      <c r="J14" s="226">
        <v>13446</v>
      </c>
      <c r="K14" s="195">
        <f t="shared" si="2"/>
        <v>81.62</v>
      </c>
      <c r="L14" s="226">
        <v>14761</v>
      </c>
      <c r="M14" s="195">
        <f t="shared" si="3"/>
        <v>33.01</v>
      </c>
      <c r="N14" s="226">
        <v>1713</v>
      </c>
      <c r="O14" s="195">
        <f t="shared" si="4"/>
        <v>3.83</v>
      </c>
      <c r="P14" s="226">
        <v>28245</v>
      </c>
      <c r="Q14" s="195">
        <f>ROUND(P14/$R14*100,2)</f>
        <v>63.16</v>
      </c>
      <c r="R14" s="227">
        <f t="shared" si="9"/>
        <v>44719</v>
      </c>
    </row>
    <row r="15" spans="1:18" s="40" customFormat="1" ht="18" customHeight="1">
      <c r="A15" s="780" t="s">
        <v>765</v>
      </c>
      <c r="B15" s="225">
        <f t="shared" si="6"/>
        <v>79523</v>
      </c>
      <c r="C15" s="195">
        <f t="shared" si="7"/>
        <v>36.36</v>
      </c>
      <c r="D15" s="226">
        <v>519</v>
      </c>
      <c r="E15" s="195">
        <f t="shared" si="8"/>
        <v>0.65</v>
      </c>
      <c r="F15" s="226">
        <v>256</v>
      </c>
      <c r="G15" s="195">
        <f t="shared" si="0"/>
        <v>0.32</v>
      </c>
      <c r="H15" s="226">
        <v>2426</v>
      </c>
      <c r="I15" s="195">
        <f t="shared" si="1"/>
        <v>3.05</v>
      </c>
      <c r="J15" s="226">
        <v>76322</v>
      </c>
      <c r="K15" s="195">
        <f t="shared" si="2"/>
        <v>95.97</v>
      </c>
      <c r="L15" s="226">
        <v>69702</v>
      </c>
      <c r="M15" s="195">
        <f t="shared" si="3"/>
        <v>31.87</v>
      </c>
      <c r="N15" s="226">
        <v>9821</v>
      </c>
      <c r="O15" s="195">
        <f t="shared" si="4"/>
        <v>4.49</v>
      </c>
      <c r="P15" s="226">
        <v>139195</v>
      </c>
      <c r="Q15" s="195">
        <f t="shared" si="5"/>
        <v>63.64</v>
      </c>
      <c r="R15" s="227">
        <f t="shared" si="9"/>
        <v>218718</v>
      </c>
    </row>
    <row r="16" spans="1:18" s="40" customFormat="1" ht="18" customHeight="1">
      <c r="A16" s="208" t="s">
        <v>551</v>
      </c>
      <c r="B16" s="223">
        <f t="shared" si="6"/>
        <v>222295</v>
      </c>
      <c r="C16" s="213">
        <f t="shared" si="7"/>
        <v>39.020000000000003</v>
      </c>
      <c r="D16" s="224">
        <f>SUM(D17:D20)</f>
        <v>20346</v>
      </c>
      <c r="E16" s="1152">
        <f t="shared" si="8"/>
        <v>9.15</v>
      </c>
      <c r="F16" s="224">
        <f>SUM(F17:F20)</f>
        <v>35968</v>
      </c>
      <c r="G16" s="213">
        <f t="shared" si="0"/>
        <v>16.18</v>
      </c>
      <c r="H16" s="224">
        <f>SUM(H17:H20)</f>
        <v>3669</v>
      </c>
      <c r="I16" s="213">
        <f t="shared" si="1"/>
        <v>1.65</v>
      </c>
      <c r="J16" s="224">
        <f>SUM(J17:J20)</f>
        <v>162312</v>
      </c>
      <c r="K16" s="213">
        <f t="shared" si="2"/>
        <v>73.02</v>
      </c>
      <c r="L16" s="224">
        <f>SUM(L17:L20)</f>
        <v>163205</v>
      </c>
      <c r="M16" s="213">
        <f t="shared" si="3"/>
        <v>28.65</v>
      </c>
      <c r="N16" s="224">
        <f>SUM(N17:N20)</f>
        <v>59090</v>
      </c>
      <c r="O16" s="213">
        <f t="shared" ref="O16:O25" si="10">ROUND(N16/$R16*100,2)</f>
        <v>10.37</v>
      </c>
      <c r="P16" s="224">
        <f>SUM(P17:P20)</f>
        <v>347416</v>
      </c>
      <c r="Q16" s="213">
        <f t="shared" si="5"/>
        <v>60.98</v>
      </c>
      <c r="R16" s="229">
        <f t="shared" si="9"/>
        <v>569711</v>
      </c>
    </row>
    <row r="17" spans="1:18" s="40" customFormat="1" ht="18" customHeight="1">
      <c r="A17" s="780" t="s">
        <v>552</v>
      </c>
      <c r="B17" s="225">
        <f t="shared" si="6"/>
        <v>113658</v>
      </c>
      <c r="C17" s="195">
        <f t="shared" si="7"/>
        <v>37.94</v>
      </c>
      <c r="D17" s="226">
        <v>13740</v>
      </c>
      <c r="E17" s="195">
        <f t="shared" si="8"/>
        <v>12.09</v>
      </c>
      <c r="F17" s="226">
        <v>23731</v>
      </c>
      <c r="G17" s="195">
        <f t="shared" si="0"/>
        <v>20.88</v>
      </c>
      <c r="H17" s="226">
        <v>1929</v>
      </c>
      <c r="I17" s="195">
        <f t="shared" si="1"/>
        <v>1.7</v>
      </c>
      <c r="J17" s="226">
        <v>74258</v>
      </c>
      <c r="K17" s="195">
        <f t="shared" si="2"/>
        <v>65.33</v>
      </c>
      <c r="L17" s="226">
        <v>83705</v>
      </c>
      <c r="M17" s="195">
        <f t="shared" si="3"/>
        <v>27.94</v>
      </c>
      <c r="N17" s="226">
        <v>29953</v>
      </c>
      <c r="O17" s="195">
        <f t="shared" si="10"/>
        <v>10</v>
      </c>
      <c r="P17" s="226">
        <v>185898</v>
      </c>
      <c r="Q17" s="195">
        <f t="shared" si="5"/>
        <v>62.06</v>
      </c>
      <c r="R17" s="227">
        <f t="shared" si="9"/>
        <v>299556</v>
      </c>
    </row>
    <row r="18" spans="1:18" s="40" customFormat="1" ht="18" customHeight="1">
      <c r="A18" s="780" t="s">
        <v>565</v>
      </c>
      <c r="B18" s="225">
        <f t="shared" si="6"/>
        <v>9876</v>
      </c>
      <c r="C18" s="195">
        <f t="shared" si="7"/>
        <v>39.159999999999997</v>
      </c>
      <c r="D18" s="226">
        <v>84</v>
      </c>
      <c r="E18" s="195">
        <f t="shared" si="8"/>
        <v>0.85</v>
      </c>
      <c r="F18" s="226">
        <v>39</v>
      </c>
      <c r="G18" s="195">
        <f t="shared" si="0"/>
        <v>0.39</v>
      </c>
      <c r="H18" s="226">
        <v>208</v>
      </c>
      <c r="I18" s="195">
        <f t="shared" si="1"/>
        <v>2.11</v>
      </c>
      <c r="J18" s="226">
        <v>9545</v>
      </c>
      <c r="K18" s="195">
        <f t="shared" si="2"/>
        <v>96.65</v>
      </c>
      <c r="L18" s="226">
        <v>8856</v>
      </c>
      <c r="M18" s="195">
        <f t="shared" si="3"/>
        <v>35.119999999999997</v>
      </c>
      <c r="N18" s="226">
        <v>1020</v>
      </c>
      <c r="O18" s="195">
        <f t="shared" si="10"/>
        <v>4.04</v>
      </c>
      <c r="P18" s="226">
        <v>15342</v>
      </c>
      <c r="Q18" s="195">
        <f t="shared" si="5"/>
        <v>60.84</v>
      </c>
      <c r="R18" s="227">
        <f t="shared" si="9"/>
        <v>25218</v>
      </c>
    </row>
    <row r="19" spans="1:18" s="40" customFormat="1" ht="18" customHeight="1">
      <c r="A19" s="780" t="s">
        <v>1440</v>
      </c>
      <c r="B19" s="225">
        <f t="shared" si="6"/>
        <v>50196</v>
      </c>
      <c r="C19" s="195">
        <f t="shared" si="7"/>
        <v>42.71</v>
      </c>
      <c r="D19" s="226">
        <v>2392</v>
      </c>
      <c r="E19" s="195">
        <f t="shared" si="8"/>
        <v>4.7699999999999996</v>
      </c>
      <c r="F19" s="226">
        <v>5402</v>
      </c>
      <c r="G19" s="195">
        <f t="shared" si="0"/>
        <v>10.76</v>
      </c>
      <c r="H19" s="226">
        <v>717</v>
      </c>
      <c r="I19" s="195">
        <f t="shared" si="1"/>
        <v>1.43</v>
      </c>
      <c r="J19" s="226">
        <v>41685</v>
      </c>
      <c r="K19" s="195">
        <f t="shared" si="2"/>
        <v>83.04</v>
      </c>
      <c r="L19" s="226">
        <v>36135</v>
      </c>
      <c r="M19" s="195">
        <f t="shared" si="3"/>
        <v>30.74</v>
      </c>
      <c r="N19" s="226">
        <v>14061</v>
      </c>
      <c r="O19" s="195">
        <f t="shared" si="10"/>
        <v>11.96</v>
      </c>
      <c r="P19" s="226">
        <v>67344</v>
      </c>
      <c r="Q19" s="195">
        <f t="shared" si="5"/>
        <v>57.29</v>
      </c>
      <c r="R19" s="227">
        <f t="shared" si="9"/>
        <v>117540</v>
      </c>
    </row>
    <row r="20" spans="1:18" s="40" customFormat="1" ht="15.75" customHeight="1">
      <c r="A20" s="780" t="s">
        <v>554</v>
      </c>
      <c r="B20" s="225">
        <f t="shared" si="6"/>
        <v>48565</v>
      </c>
      <c r="C20" s="195">
        <f t="shared" si="7"/>
        <v>38.119999999999997</v>
      </c>
      <c r="D20" s="226">
        <v>4130</v>
      </c>
      <c r="E20" s="195">
        <f t="shared" si="8"/>
        <v>8.5</v>
      </c>
      <c r="F20" s="226">
        <v>6796</v>
      </c>
      <c r="G20" s="195">
        <f t="shared" si="0"/>
        <v>13.99</v>
      </c>
      <c r="H20" s="226">
        <v>815</v>
      </c>
      <c r="I20" s="195">
        <f t="shared" si="1"/>
        <v>1.68</v>
      </c>
      <c r="J20" s="226">
        <v>36824</v>
      </c>
      <c r="K20" s="195">
        <f t="shared" si="2"/>
        <v>75.819999999999993</v>
      </c>
      <c r="L20" s="226">
        <v>34509</v>
      </c>
      <c r="M20" s="195">
        <f t="shared" si="3"/>
        <v>27.09</v>
      </c>
      <c r="N20" s="226">
        <v>14056</v>
      </c>
      <c r="O20" s="195">
        <f t="shared" si="10"/>
        <v>11.03</v>
      </c>
      <c r="P20" s="226">
        <v>78832</v>
      </c>
      <c r="Q20" s="195">
        <f t="shared" si="5"/>
        <v>61.88</v>
      </c>
      <c r="R20" s="227">
        <f t="shared" si="9"/>
        <v>127397</v>
      </c>
    </row>
    <row r="21" spans="1:18" s="40" customFormat="1" ht="26.25" customHeight="1">
      <c r="A21" s="453" t="s">
        <v>336</v>
      </c>
      <c r="B21" s="223">
        <f t="shared" si="6"/>
        <v>592068</v>
      </c>
      <c r="C21" s="213">
        <f t="shared" si="7"/>
        <v>39.700000000000003</v>
      </c>
      <c r="D21" s="224">
        <f>SUM(D22:D28)</f>
        <v>85802</v>
      </c>
      <c r="E21" s="213">
        <f t="shared" si="8"/>
        <v>14.49</v>
      </c>
      <c r="F21" s="224">
        <f>SUM(F22:F28)</f>
        <v>145939</v>
      </c>
      <c r="G21" s="213">
        <f t="shared" si="0"/>
        <v>24.65</v>
      </c>
      <c r="H21" s="224">
        <f>SUM(H22:H28)</f>
        <v>12660</v>
      </c>
      <c r="I21" s="213">
        <f t="shared" si="1"/>
        <v>2.14</v>
      </c>
      <c r="J21" s="224">
        <f>SUM(J22:J28)</f>
        <v>347667</v>
      </c>
      <c r="K21" s="213">
        <f t="shared" si="2"/>
        <v>58.72</v>
      </c>
      <c r="L21" s="224">
        <f>SUM(L22:L28)</f>
        <v>441215</v>
      </c>
      <c r="M21" s="213">
        <f t="shared" si="3"/>
        <v>29.59</v>
      </c>
      <c r="N21" s="224">
        <f>SUM(N22:N28)</f>
        <v>150853</v>
      </c>
      <c r="O21" s="213">
        <f>ROUND(N21/$R21*100,2)-0.01</f>
        <v>10.11</v>
      </c>
      <c r="P21" s="224">
        <f>SUM(P22:P28)</f>
        <v>899182</v>
      </c>
      <c r="Q21" s="213">
        <f t="shared" si="5"/>
        <v>60.3</v>
      </c>
      <c r="R21" s="229">
        <f t="shared" si="9"/>
        <v>1491250</v>
      </c>
    </row>
    <row r="22" spans="1:18" s="40" customFormat="1" ht="18" customHeight="1">
      <c r="A22" s="780" t="s">
        <v>555</v>
      </c>
      <c r="B22" s="225">
        <f t="shared" si="6"/>
        <v>79099</v>
      </c>
      <c r="C22" s="195">
        <f t="shared" si="7"/>
        <v>39.630000000000003</v>
      </c>
      <c r="D22" s="226">
        <v>12190</v>
      </c>
      <c r="E22" s="195">
        <f t="shared" si="8"/>
        <v>15.41</v>
      </c>
      <c r="F22" s="226">
        <v>20744</v>
      </c>
      <c r="G22" s="195">
        <f t="shared" si="0"/>
        <v>26.23</v>
      </c>
      <c r="H22" s="226">
        <v>2901</v>
      </c>
      <c r="I22" s="195">
        <f t="shared" si="1"/>
        <v>3.67</v>
      </c>
      <c r="J22" s="226">
        <v>43264</v>
      </c>
      <c r="K22" s="195">
        <f t="shared" si="2"/>
        <v>54.7</v>
      </c>
      <c r="L22" s="226">
        <v>54081</v>
      </c>
      <c r="M22" s="195">
        <f t="shared" si="3"/>
        <v>27.09</v>
      </c>
      <c r="N22" s="226">
        <v>25018</v>
      </c>
      <c r="O22" s="195">
        <f t="shared" si="10"/>
        <v>12.53</v>
      </c>
      <c r="P22" s="226">
        <v>120510</v>
      </c>
      <c r="Q22" s="195">
        <f t="shared" si="5"/>
        <v>60.37</v>
      </c>
      <c r="R22" s="227">
        <f t="shared" si="9"/>
        <v>199609</v>
      </c>
    </row>
    <row r="23" spans="1:18" s="40" customFormat="1" ht="18" customHeight="1">
      <c r="A23" s="780" t="s">
        <v>557</v>
      </c>
      <c r="B23" s="225">
        <f t="shared" si="6"/>
        <v>112686</v>
      </c>
      <c r="C23" s="195">
        <f t="shared" si="7"/>
        <v>38.76</v>
      </c>
      <c r="D23" s="226">
        <v>23309</v>
      </c>
      <c r="E23" s="195">
        <f t="shared" si="8"/>
        <v>20.68</v>
      </c>
      <c r="F23" s="226">
        <v>43693</v>
      </c>
      <c r="G23" s="195">
        <f t="shared" si="0"/>
        <v>38.770000000000003</v>
      </c>
      <c r="H23" s="226">
        <v>1875</v>
      </c>
      <c r="I23" s="195">
        <f t="shared" si="1"/>
        <v>1.66</v>
      </c>
      <c r="J23" s="226">
        <v>43809</v>
      </c>
      <c r="K23" s="195">
        <f t="shared" si="2"/>
        <v>38.880000000000003</v>
      </c>
      <c r="L23" s="226">
        <v>89294</v>
      </c>
      <c r="M23" s="195">
        <f t="shared" si="3"/>
        <v>30.71</v>
      </c>
      <c r="N23" s="226">
        <v>23392</v>
      </c>
      <c r="O23" s="195">
        <f t="shared" si="10"/>
        <v>8.0500000000000007</v>
      </c>
      <c r="P23" s="226">
        <v>178036</v>
      </c>
      <c r="Q23" s="195">
        <f t="shared" si="5"/>
        <v>61.24</v>
      </c>
      <c r="R23" s="227">
        <f t="shared" si="9"/>
        <v>290722</v>
      </c>
    </row>
    <row r="24" spans="1:18" s="40" customFormat="1" ht="18" customHeight="1">
      <c r="A24" s="780" t="s">
        <v>560</v>
      </c>
      <c r="B24" s="225">
        <f t="shared" si="6"/>
        <v>81669</v>
      </c>
      <c r="C24" s="195">
        <f t="shared" si="7"/>
        <v>40.42</v>
      </c>
      <c r="D24" s="226">
        <v>7171</v>
      </c>
      <c r="E24" s="195">
        <f t="shared" si="8"/>
        <v>8.7799999999999994</v>
      </c>
      <c r="F24" s="226">
        <v>9714</v>
      </c>
      <c r="G24" s="195">
        <f t="shared" si="0"/>
        <v>11.89</v>
      </c>
      <c r="H24" s="226">
        <v>1406</v>
      </c>
      <c r="I24" s="195">
        <f t="shared" si="1"/>
        <v>1.72</v>
      </c>
      <c r="J24" s="226">
        <v>63378</v>
      </c>
      <c r="K24" s="195">
        <f t="shared" si="2"/>
        <v>77.599999999999994</v>
      </c>
      <c r="L24" s="226">
        <v>57338</v>
      </c>
      <c r="M24" s="195">
        <f t="shared" si="3"/>
        <v>28.38</v>
      </c>
      <c r="N24" s="226">
        <v>24331</v>
      </c>
      <c r="O24" s="195">
        <f t="shared" si="10"/>
        <v>12.04</v>
      </c>
      <c r="P24" s="226">
        <v>120357</v>
      </c>
      <c r="Q24" s="195">
        <f t="shared" si="5"/>
        <v>59.58</v>
      </c>
      <c r="R24" s="227">
        <f t="shared" si="9"/>
        <v>202026</v>
      </c>
    </row>
    <row r="25" spans="1:18" s="40" customFormat="1" ht="18" customHeight="1">
      <c r="A25" s="780" t="s">
        <v>566</v>
      </c>
      <c r="B25" s="225">
        <f t="shared" si="6"/>
        <v>120238</v>
      </c>
      <c r="C25" s="195">
        <f t="shared" si="7"/>
        <v>40.29</v>
      </c>
      <c r="D25" s="226">
        <v>7459</v>
      </c>
      <c r="E25" s="195">
        <f t="shared" si="8"/>
        <v>6.2</v>
      </c>
      <c r="F25" s="226">
        <v>8487</v>
      </c>
      <c r="G25" s="195">
        <f t="shared" si="0"/>
        <v>7.06</v>
      </c>
      <c r="H25" s="226">
        <v>2256</v>
      </c>
      <c r="I25" s="195">
        <f t="shared" si="1"/>
        <v>1.88</v>
      </c>
      <c r="J25" s="226">
        <v>102036</v>
      </c>
      <c r="K25" s="195">
        <f t="shared" si="2"/>
        <v>84.86</v>
      </c>
      <c r="L25" s="226">
        <v>89666</v>
      </c>
      <c r="M25" s="195">
        <f t="shared" si="3"/>
        <v>30.04</v>
      </c>
      <c r="N25" s="226">
        <v>30572</v>
      </c>
      <c r="O25" s="195">
        <f t="shared" si="10"/>
        <v>10.24</v>
      </c>
      <c r="P25" s="226">
        <v>178220</v>
      </c>
      <c r="Q25" s="195">
        <f t="shared" si="5"/>
        <v>59.71</v>
      </c>
      <c r="R25" s="227">
        <f t="shared" si="9"/>
        <v>298458</v>
      </c>
    </row>
    <row r="26" spans="1:18" s="40" customFormat="1" ht="18" customHeight="1">
      <c r="A26" s="780" t="s">
        <v>567</v>
      </c>
      <c r="B26" s="225">
        <f t="shared" si="6"/>
        <v>89224</v>
      </c>
      <c r="C26" s="195">
        <f t="shared" si="7"/>
        <v>41.13</v>
      </c>
      <c r="D26" s="226">
        <v>16670</v>
      </c>
      <c r="E26" s="195">
        <f t="shared" si="8"/>
        <v>18.68</v>
      </c>
      <c r="F26" s="226">
        <v>30686</v>
      </c>
      <c r="G26" s="195">
        <f t="shared" si="0"/>
        <v>34.39</v>
      </c>
      <c r="H26" s="226">
        <v>992</v>
      </c>
      <c r="I26" s="195">
        <f t="shared" si="1"/>
        <v>1.1100000000000001</v>
      </c>
      <c r="J26" s="226">
        <v>40876</v>
      </c>
      <c r="K26" s="195">
        <f t="shared" si="2"/>
        <v>45.81</v>
      </c>
      <c r="L26" s="226">
        <v>67510</v>
      </c>
      <c r="M26" s="195">
        <f t="shared" si="3"/>
        <v>31.12</v>
      </c>
      <c r="N26" s="226">
        <v>21714</v>
      </c>
      <c r="O26" s="195">
        <f>ROUND(N26/$R26*100,2)</f>
        <v>10.01</v>
      </c>
      <c r="P26" s="226">
        <v>127707</v>
      </c>
      <c r="Q26" s="195">
        <f t="shared" si="5"/>
        <v>58.87</v>
      </c>
      <c r="R26" s="227">
        <f t="shared" si="9"/>
        <v>216931</v>
      </c>
    </row>
    <row r="27" spans="1:18" s="40" customFormat="1" ht="18" customHeight="1">
      <c r="A27" s="780" t="s">
        <v>568</v>
      </c>
      <c r="B27" s="225">
        <f>D27+F27+H27+J27</f>
        <v>22876</v>
      </c>
      <c r="C27" s="195">
        <f t="shared" si="7"/>
        <v>35.07</v>
      </c>
      <c r="D27" s="226">
        <v>161</v>
      </c>
      <c r="E27" s="195">
        <f t="shared" si="8"/>
        <v>0.7</v>
      </c>
      <c r="F27" s="226">
        <v>113</v>
      </c>
      <c r="G27" s="195">
        <f t="shared" si="0"/>
        <v>0.49</v>
      </c>
      <c r="H27" s="226">
        <v>572</v>
      </c>
      <c r="I27" s="195">
        <f t="shared" si="1"/>
        <v>2.5</v>
      </c>
      <c r="J27" s="226">
        <v>22030</v>
      </c>
      <c r="K27" s="195">
        <f t="shared" si="2"/>
        <v>96.3</v>
      </c>
      <c r="L27" s="226">
        <v>21289</v>
      </c>
      <c r="M27" s="195">
        <f t="shared" si="3"/>
        <v>32.64</v>
      </c>
      <c r="N27" s="226">
        <v>1587</v>
      </c>
      <c r="O27" s="195">
        <f>ROUND(N27/$R27*100,2)</f>
        <v>2.4300000000000002</v>
      </c>
      <c r="P27" s="226">
        <v>42356</v>
      </c>
      <c r="Q27" s="195">
        <f t="shared" si="5"/>
        <v>64.930000000000007</v>
      </c>
      <c r="R27" s="227">
        <f>P27+N27+L27</f>
        <v>65232</v>
      </c>
    </row>
    <row r="28" spans="1:18" s="40" customFormat="1" ht="18" customHeight="1">
      <c r="A28" s="780" t="s">
        <v>569</v>
      </c>
      <c r="B28" s="225">
        <f t="shared" si="6"/>
        <v>86276</v>
      </c>
      <c r="C28" s="195">
        <f t="shared" si="7"/>
        <v>39.53</v>
      </c>
      <c r="D28" s="226">
        <v>18842</v>
      </c>
      <c r="E28" s="195">
        <f t="shared" si="8"/>
        <v>21.84</v>
      </c>
      <c r="F28" s="226">
        <v>32502</v>
      </c>
      <c r="G28" s="195">
        <f t="shared" si="0"/>
        <v>37.67</v>
      </c>
      <c r="H28" s="226">
        <v>2658</v>
      </c>
      <c r="I28" s="195">
        <f t="shared" si="1"/>
        <v>3.08</v>
      </c>
      <c r="J28" s="226">
        <v>32274</v>
      </c>
      <c r="K28" s="195">
        <f t="shared" si="2"/>
        <v>37.409999999999997</v>
      </c>
      <c r="L28" s="226">
        <v>62037</v>
      </c>
      <c r="M28" s="195">
        <f t="shared" si="3"/>
        <v>28.42</v>
      </c>
      <c r="N28" s="226">
        <v>24239</v>
      </c>
      <c r="O28" s="195">
        <f>ROUND(N28/$R28*100,2)</f>
        <v>11.1</v>
      </c>
      <c r="P28" s="226">
        <v>131996</v>
      </c>
      <c r="Q28" s="195">
        <f t="shared" si="5"/>
        <v>60.47</v>
      </c>
      <c r="R28" s="227">
        <f t="shared" si="9"/>
        <v>218272</v>
      </c>
    </row>
    <row r="29" spans="1:18" s="40" customFormat="1" ht="18" customHeight="1">
      <c r="A29" s="230" t="s">
        <v>1468</v>
      </c>
      <c r="B29" s="164">
        <f t="shared" si="6"/>
        <v>1512910</v>
      </c>
      <c r="C29" s="220">
        <f t="shared" si="7"/>
        <v>39.06</v>
      </c>
      <c r="D29" s="163">
        <f>SUM(D8,D16,D21)</f>
        <v>214932</v>
      </c>
      <c r="E29" s="220">
        <f t="shared" si="8"/>
        <v>14.21</v>
      </c>
      <c r="F29" s="163">
        <f>SUM(F8,F16,F21)</f>
        <v>349672</v>
      </c>
      <c r="G29" s="220">
        <f t="shared" si="0"/>
        <v>23.11</v>
      </c>
      <c r="H29" s="163">
        <f>SUM(H8,H16,H21)</f>
        <v>30090</v>
      </c>
      <c r="I29" s="220">
        <f t="shared" si="1"/>
        <v>1.99</v>
      </c>
      <c r="J29" s="163">
        <f>SUM(J8,J16,J21)</f>
        <v>918216</v>
      </c>
      <c r="K29" s="220">
        <f>ROUND(J29/$B29*100,2)</f>
        <v>60.69</v>
      </c>
      <c r="L29" s="163">
        <f>SUM(L8,L16,L21)</f>
        <v>1153765</v>
      </c>
      <c r="M29" s="220">
        <f>ROUND(L29/$R29*100,2)</f>
        <v>29.79</v>
      </c>
      <c r="N29" s="163">
        <f>SUM(N8,N16,N21)</f>
        <v>359145</v>
      </c>
      <c r="O29" s="220">
        <f>ROUND(N29/$R29*100,2)</f>
        <v>9.27</v>
      </c>
      <c r="P29" s="163">
        <f>SUM(P8,P16,P21)</f>
        <v>2359936</v>
      </c>
      <c r="Q29" s="220">
        <f t="shared" si="5"/>
        <v>60.94</v>
      </c>
      <c r="R29" s="230">
        <f t="shared" si="9"/>
        <v>3872846</v>
      </c>
    </row>
    <row r="30" spans="1:18" s="40" customFormat="1">
      <c r="A30" s="889" t="s">
        <v>646</v>
      </c>
      <c r="B30" s="80"/>
      <c r="D30" s="77"/>
      <c r="E30" s="77"/>
      <c r="F30" s="80"/>
      <c r="I30" s="877" t="s">
        <v>211</v>
      </c>
      <c r="R30" s="875" t="s">
        <v>770</v>
      </c>
    </row>
    <row r="31" spans="1:18">
      <c r="A31" s="889" t="s">
        <v>46</v>
      </c>
      <c r="B31" s="79"/>
      <c r="C31" s="79"/>
      <c r="D31" s="79"/>
      <c r="E31" s="81"/>
      <c r="F31" s="81"/>
    </row>
    <row r="32" spans="1:18">
      <c r="A32" s="889" t="s">
        <v>47</v>
      </c>
      <c r="B32" s="79"/>
      <c r="C32" s="79"/>
      <c r="D32" s="79"/>
      <c r="E32" s="81"/>
      <c r="F32" s="81"/>
    </row>
    <row r="33" spans="16:18">
      <c r="P33" s="40"/>
      <c r="R33" s="64"/>
    </row>
  </sheetData>
  <mergeCells count="21">
    <mergeCell ref="A5:A6"/>
    <mergeCell ref="C5:C6"/>
    <mergeCell ref="B5:B6"/>
    <mergeCell ref="D5:E5"/>
    <mergeCell ref="N5:N6"/>
    <mergeCell ref="A1:R1"/>
    <mergeCell ref="A2:R2"/>
    <mergeCell ref="B4:C4"/>
    <mergeCell ref="D4:K4"/>
    <mergeCell ref="L4:M4"/>
    <mergeCell ref="N4:O4"/>
    <mergeCell ref="P4:Q4"/>
    <mergeCell ref="R4:R6"/>
    <mergeCell ref="Q5:Q6"/>
    <mergeCell ref="P5:P6"/>
    <mergeCell ref="O5:O6"/>
    <mergeCell ref="M5:M6"/>
    <mergeCell ref="J5:K5"/>
    <mergeCell ref="L5:L6"/>
    <mergeCell ref="F5:G5"/>
    <mergeCell ref="H5:I5"/>
  </mergeCells>
  <phoneticPr fontId="120" type="noConversion"/>
  <printOptions horizontalCentered="1"/>
  <pageMargins left="0.1" right="0.1" top="0.66" bottom="0.1" header="0.5" footer="0.1"/>
  <pageSetup paperSize="9" orientation="landscape" blackAndWhite="1" r:id="rId1"/>
  <headerFooter alignWithMargins="0"/>
</worksheet>
</file>

<file path=xl/worksheets/sheet17.xml><?xml version="1.0" encoding="utf-8"?>
<worksheet xmlns="http://schemas.openxmlformats.org/spreadsheetml/2006/main" xmlns:r="http://schemas.openxmlformats.org/officeDocument/2006/relationships">
  <sheetPr codeName="Sheet44"/>
  <dimension ref="A1:L54"/>
  <sheetViews>
    <sheetView workbookViewId="0">
      <selection activeCell="G16" sqref="G16"/>
    </sheetView>
  </sheetViews>
  <sheetFormatPr defaultRowHeight="12.75"/>
  <cols>
    <col min="1" max="1" width="2.28515625" style="359" customWidth="1"/>
    <col min="2" max="2" width="2.7109375" style="359" customWidth="1"/>
    <col min="3" max="3" width="25" style="359" customWidth="1"/>
    <col min="4" max="6" width="12.7109375" style="359" customWidth="1"/>
    <col min="7" max="7" width="19" style="359" customWidth="1"/>
    <col min="8" max="8" width="9.140625" style="359"/>
    <col min="9" max="12" width="19.42578125" style="359" customWidth="1"/>
    <col min="13" max="13" width="20.28515625" style="359" customWidth="1"/>
    <col min="14" max="16384" width="9.140625" style="359"/>
  </cols>
  <sheetData>
    <row r="1" spans="1:12">
      <c r="A1" s="1436" t="s">
        <v>402</v>
      </c>
      <c r="B1" s="1436"/>
      <c r="C1" s="1436"/>
      <c r="D1" s="1436"/>
      <c r="E1" s="1436"/>
      <c r="F1" s="1436"/>
      <c r="G1" s="1436"/>
    </row>
    <row r="2" spans="1:12" ht="36" customHeight="1">
      <c r="A2" s="1437" t="str">
        <f>CONCATENATE("Distribution of Population over different categories of workers 
and non-workers by sex in the district of ",District!$A$1,", 2011")</f>
        <v>Distribution of Population over different categories of workers 
and non-workers by sex in the district of Jalpaiguri, 2011</v>
      </c>
      <c r="B2" s="1437"/>
      <c r="C2" s="1437"/>
      <c r="D2" s="1437"/>
      <c r="E2" s="1437"/>
      <c r="F2" s="1437"/>
      <c r="G2" s="1437"/>
    </row>
    <row r="3" spans="1:12" ht="15" customHeight="1">
      <c r="A3" s="1379" t="s">
        <v>507</v>
      </c>
      <c r="B3" s="1425"/>
      <c r="C3" s="1380"/>
      <c r="D3" s="1438" t="s">
        <v>1502</v>
      </c>
      <c r="E3" s="1433"/>
      <c r="F3" s="1433"/>
      <c r="G3" s="1299" t="s">
        <v>1217</v>
      </c>
    </row>
    <row r="4" spans="1:12" ht="15" customHeight="1">
      <c r="A4" s="1426"/>
      <c r="B4" s="1427"/>
      <c r="C4" s="1428"/>
      <c r="D4" s="1434"/>
      <c r="E4" s="1435"/>
      <c r="F4" s="1435"/>
      <c r="G4" s="1398"/>
    </row>
    <row r="5" spans="1:12" ht="15" customHeight="1">
      <c r="A5" s="1429"/>
      <c r="B5" s="1430"/>
      <c r="C5" s="1431"/>
      <c r="D5" s="173" t="s">
        <v>332</v>
      </c>
      <c r="E5" s="171" t="s">
        <v>333</v>
      </c>
      <c r="F5" s="171" t="s">
        <v>300</v>
      </c>
      <c r="G5" s="1302"/>
    </row>
    <row r="6" spans="1:12" ht="14.25" customHeight="1">
      <c r="A6" s="1385" t="s">
        <v>278</v>
      </c>
      <c r="B6" s="1424"/>
      <c r="C6" s="1386"/>
      <c r="D6" s="92" t="s">
        <v>279</v>
      </c>
      <c r="E6" s="87" t="s">
        <v>280</v>
      </c>
      <c r="F6" s="87" t="s">
        <v>281</v>
      </c>
      <c r="G6" s="57" t="s">
        <v>282</v>
      </c>
    </row>
    <row r="7" spans="1:12" ht="15.75" customHeight="1">
      <c r="A7" s="1051" t="s">
        <v>515</v>
      </c>
      <c r="B7" s="1053" t="s">
        <v>508</v>
      </c>
      <c r="C7" s="436"/>
      <c r="D7" s="302"/>
      <c r="E7" s="392"/>
      <c r="F7" s="392"/>
      <c r="G7" s="437"/>
    </row>
    <row r="8" spans="1:12" ht="15.75" customHeight="1">
      <c r="A8" s="1417" t="s">
        <v>509</v>
      </c>
      <c r="B8" s="1418"/>
      <c r="C8" s="1052" t="s">
        <v>510</v>
      </c>
      <c r="D8" s="365"/>
      <c r="E8" s="356"/>
      <c r="F8" s="356"/>
      <c r="G8" s="231"/>
    </row>
    <row r="9" spans="1:12" ht="15.75" customHeight="1">
      <c r="A9" s="1323"/>
      <c r="B9" s="1285"/>
      <c r="C9" s="436" t="s">
        <v>335</v>
      </c>
      <c r="D9" s="226">
        <v>634019</v>
      </c>
      <c r="E9" s="215">
        <v>178387</v>
      </c>
      <c r="F9" s="296">
        <f>D9+E9</f>
        <v>812406</v>
      </c>
      <c r="G9" s="438">
        <f>ROUND(F9/$F$21*100,2)</f>
        <v>28.89</v>
      </c>
      <c r="H9" s="181"/>
      <c r="I9" s="181"/>
      <c r="J9" s="181"/>
      <c r="K9" s="181"/>
      <c r="L9" s="181"/>
    </row>
    <row r="10" spans="1:12" ht="15.75" customHeight="1">
      <c r="A10" s="1323"/>
      <c r="B10" s="1285"/>
      <c r="C10" s="436" t="s">
        <v>334</v>
      </c>
      <c r="D10" s="226">
        <v>288163</v>
      </c>
      <c r="E10" s="215">
        <v>53196</v>
      </c>
      <c r="F10" s="296">
        <f>D10+E10</f>
        <v>341359</v>
      </c>
      <c r="G10" s="438">
        <f>ROUND(F10/$F$22*100,2)</f>
        <v>32.19</v>
      </c>
      <c r="H10" s="181"/>
      <c r="I10" s="181"/>
      <c r="J10" s="181"/>
      <c r="K10" s="181"/>
      <c r="L10" s="181"/>
    </row>
    <row r="11" spans="1:12" s="1159" customFormat="1" ht="15.75" customHeight="1">
      <c r="A11" s="1419"/>
      <c r="B11" s="1420"/>
      <c r="C11" s="1052" t="s">
        <v>511</v>
      </c>
      <c r="D11" s="381">
        <f>D9+D10</f>
        <v>922182</v>
      </c>
      <c r="E11" s="24">
        <f>E9+E10</f>
        <v>231583</v>
      </c>
      <c r="F11" s="223">
        <f>D11+E11</f>
        <v>1153765</v>
      </c>
      <c r="G11" s="730">
        <f>ROUND(F11/$F$23*100,2)</f>
        <v>29.79</v>
      </c>
      <c r="H11" s="25"/>
      <c r="I11" s="181"/>
      <c r="J11" s="181"/>
      <c r="K11" s="181"/>
      <c r="L11" s="181"/>
    </row>
    <row r="12" spans="1:12" ht="15.75" customHeight="1">
      <c r="A12" s="1417" t="s">
        <v>512</v>
      </c>
      <c r="B12" s="1418"/>
      <c r="C12" s="1052" t="s">
        <v>513</v>
      </c>
      <c r="D12" s="232"/>
      <c r="E12" s="225"/>
      <c r="F12" s="296"/>
      <c r="G12" s="438"/>
      <c r="H12" s="181"/>
      <c r="I12" s="181"/>
      <c r="J12" s="181"/>
      <c r="K12" s="181"/>
      <c r="L12" s="181"/>
    </row>
    <row r="13" spans="1:12" ht="15.75" customHeight="1">
      <c r="A13" s="1323"/>
      <c r="B13" s="1285"/>
      <c r="C13" s="436" t="s">
        <v>335</v>
      </c>
      <c r="D13" s="181">
        <v>144233</v>
      </c>
      <c r="E13" s="181">
        <v>166138</v>
      </c>
      <c r="F13" s="296">
        <f>D13+E13</f>
        <v>310371</v>
      </c>
      <c r="G13" s="438">
        <f>ROUND(F13/$F$21*100,2)</f>
        <v>11.04</v>
      </c>
      <c r="H13" s="181"/>
      <c r="I13" s="181"/>
      <c r="J13" s="181"/>
      <c r="K13" s="181"/>
      <c r="L13" s="181"/>
    </row>
    <row r="14" spans="1:12" ht="15.75" customHeight="1">
      <c r="A14" s="1323"/>
      <c r="B14" s="1285"/>
      <c r="C14" s="436" t="s">
        <v>334</v>
      </c>
      <c r="D14" s="181">
        <v>24946</v>
      </c>
      <c r="E14" s="181">
        <v>23828</v>
      </c>
      <c r="F14" s="296">
        <f>D14+E14</f>
        <v>48774</v>
      </c>
      <c r="G14" s="438">
        <f>ROUND(F14/$F$22*100,2)</f>
        <v>4.5999999999999996</v>
      </c>
      <c r="H14" s="181"/>
      <c r="I14" s="181"/>
      <c r="J14" s="181"/>
      <c r="K14" s="181"/>
      <c r="L14" s="181"/>
    </row>
    <row r="15" spans="1:12" s="1159" customFormat="1" ht="15.75" customHeight="1">
      <c r="A15" s="1419"/>
      <c r="B15" s="1420"/>
      <c r="C15" s="1052" t="s">
        <v>511</v>
      </c>
      <c r="D15" s="381">
        <f>D13+D14</f>
        <v>169179</v>
      </c>
      <c r="E15" s="24">
        <f>E13+E14</f>
        <v>189966</v>
      </c>
      <c r="F15" s="223">
        <f>D15+E15</f>
        <v>359145</v>
      </c>
      <c r="G15" s="730">
        <f>ROUND(F15/$F$23*100,2)</f>
        <v>9.27</v>
      </c>
      <c r="H15" s="25"/>
      <c r="I15" s="181"/>
      <c r="J15" s="181"/>
      <c r="K15" s="181"/>
      <c r="L15" s="181"/>
    </row>
    <row r="16" spans="1:12" ht="15.75" customHeight="1">
      <c r="A16" s="1051" t="s">
        <v>981</v>
      </c>
      <c r="B16" s="1053" t="s">
        <v>514</v>
      </c>
      <c r="C16" s="436"/>
      <c r="D16" s="232"/>
      <c r="E16" s="225"/>
      <c r="F16" s="296"/>
      <c r="G16" s="438"/>
      <c r="H16" s="181"/>
      <c r="I16" s="181"/>
      <c r="J16" s="181"/>
      <c r="K16" s="181"/>
      <c r="L16" s="181"/>
    </row>
    <row r="17" spans="1:12" ht="15.75" customHeight="1">
      <c r="A17" s="1323"/>
      <c r="B17" s="1285"/>
      <c r="C17" s="436" t="s">
        <v>335</v>
      </c>
      <c r="D17" s="226">
        <v>659034</v>
      </c>
      <c r="E17" s="215">
        <v>1030684</v>
      </c>
      <c r="F17" s="296">
        <f>D17+E17</f>
        <v>1689718</v>
      </c>
      <c r="G17" s="438">
        <f>ROUND(F17/$F$21*100,2)-0.01</f>
        <v>60.07</v>
      </c>
      <c r="H17" s="181"/>
      <c r="I17" s="181"/>
      <c r="J17" s="181"/>
      <c r="K17" s="181"/>
      <c r="L17" s="181"/>
    </row>
    <row r="18" spans="1:12" ht="15.75" customHeight="1">
      <c r="A18" s="1323"/>
      <c r="B18" s="1285"/>
      <c r="C18" s="436" t="s">
        <v>334</v>
      </c>
      <c r="D18" s="226">
        <v>232669</v>
      </c>
      <c r="E18" s="215">
        <v>437549</v>
      </c>
      <c r="F18" s="296">
        <f>D18+E18</f>
        <v>670218</v>
      </c>
      <c r="G18" s="438">
        <f>ROUND(F18/$F$22*100,2)</f>
        <v>63.21</v>
      </c>
      <c r="H18" s="181"/>
      <c r="I18" s="181"/>
      <c r="J18" s="181"/>
      <c r="K18" s="181"/>
      <c r="L18" s="181"/>
    </row>
    <row r="19" spans="1:12" s="1159" customFormat="1" ht="15.75" customHeight="1">
      <c r="A19" s="1419"/>
      <c r="B19" s="1420"/>
      <c r="C19" s="1052" t="s">
        <v>511</v>
      </c>
      <c r="D19" s="381">
        <f>D17+D18</f>
        <v>891703</v>
      </c>
      <c r="E19" s="24">
        <f>E17+E18</f>
        <v>1468233</v>
      </c>
      <c r="F19" s="223">
        <f>D19+E19</f>
        <v>2359936</v>
      </c>
      <c r="G19" s="730">
        <f>ROUND(F19/$F$23*100,2)</f>
        <v>60.94</v>
      </c>
      <c r="H19" s="25"/>
      <c r="I19" s="181"/>
      <c r="J19" s="181"/>
      <c r="K19" s="181"/>
      <c r="L19" s="181"/>
    </row>
    <row r="20" spans="1:12" ht="15.75" customHeight="1">
      <c r="A20" s="1051" t="s">
        <v>792</v>
      </c>
      <c r="B20" s="129"/>
      <c r="C20" s="436"/>
      <c r="D20" s="232"/>
      <c r="E20" s="225"/>
      <c r="F20" s="296"/>
      <c r="G20" s="438"/>
      <c r="H20" s="181"/>
      <c r="I20" s="181"/>
      <c r="J20" s="181"/>
      <c r="K20" s="181"/>
      <c r="L20" s="181"/>
    </row>
    <row r="21" spans="1:12" ht="15.75" customHeight="1">
      <c r="A21" s="1323"/>
      <c r="B21" s="1285"/>
      <c r="C21" s="436" t="s">
        <v>335</v>
      </c>
      <c r="D21" s="226">
        <f t="shared" ref="D21:F22" si="0">D9+D13+D17</f>
        <v>1437286</v>
      </c>
      <c r="E21" s="225">
        <f t="shared" si="0"/>
        <v>1375209</v>
      </c>
      <c r="F21" s="257">
        <f t="shared" si="0"/>
        <v>2812495</v>
      </c>
      <c r="G21" s="438">
        <f>SUM(G9,G13,G17)</f>
        <v>100</v>
      </c>
      <c r="H21" s="181"/>
      <c r="I21" s="181"/>
      <c r="J21" s="181"/>
      <c r="K21" s="181"/>
      <c r="L21" s="181"/>
    </row>
    <row r="22" spans="1:12" ht="15.75" customHeight="1">
      <c r="A22" s="1323"/>
      <c r="B22" s="1285"/>
      <c r="C22" s="436" t="s">
        <v>334</v>
      </c>
      <c r="D22" s="226">
        <f t="shared" si="0"/>
        <v>545778</v>
      </c>
      <c r="E22" s="225">
        <f t="shared" si="0"/>
        <v>514573</v>
      </c>
      <c r="F22" s="257">
        <f t="shared" si="0"/>
        <v>1060351</v>
      </c>
      <c r="G22" s="438">
        <f>SUM(G10,G14,G18)</f>
        <v>100</v>
      </c>
      <c r="H22" s="181"/>
      <c r="I22" s="181"/>
      <c r="J22" s="181"/>
      <c r="K22" s="181"/>
      <c r="L22" s="181"/>
    </row>
    <row r="23" spans="1:12" s="1159" customFormat="1" ht="15.75" customHeight="1">
      <c r="A23" s="1419"/>
      <c r="B23" s="1420"/>
      <c r="C23" s="1092" t="s">
        <v>511</v>
      </c>
      <c r="D23" s="1151">
        <f>D21+D22</f>
        <v>1983064</v>
      </c>
      <c r="E23" s="24">
        <f>E21+E22</f>
        <v>1889782</v>
      </c>
      <c r="F23" s="211">
        <f>F21+F22</f>
        <v>3872846</v>
      </c>
      <c r="G23" s="730">
        <f>SUM(G11,G15,G19)</f>
        <v>100</v>
      </c>
      <c r="H23" s="25"/>
      <c r="I23" s="181"/>
      <c r="J23" s="181"/>
      <c r="K23" s="181"/>
      <c r="L23" s="181"/>
    </row>
    <row r="24" spans="1:12" ht="15" customHeight="1">
      <c r="A24" s="1379" t="s">
        <v>507</v>
      </c>
      <c r="B24" s="1425"/>
      <c r="C24" s="1380"/>
      <c r="D24" s="1432" t="s">
        <v>1502</v>
      </c>
      <c r="E24" s="1433"/>
      <c r="F24" s="1433"/>
      <c r="G24" s="1299" t="s">
        <v>1218</v>
      </c>
      <c r="H24" s="181"/>
      <c r="I24" s="181"/>
      <c r="J24" s="181"/>
      <c r="K24" s="181"/>
      <c r="L24" s="181"/>
    </row>
    <row r="25" spans="1:12" ht="15" customHeight="1">
      <c r="A25" s="1426"/>
      <c r="B25" s="1427"/>
      <c r="C25" s="1428"/>
      <c r="D25" s="1434"/>
      <c r="E25" s="1435"/>
      <c r="F25" s="1435"/>
      <c r="G25" s="1398"/>
      <c r="H25" s="181"/>
      <c r="I25" s="181"/>
      <c r="J25" s="181"/>
      <c r="K25" s="181"/>
      <c r="L25" s="181"/>
    </row>
    <row r="26" spans="1:12" ht="15" customHeight="1">
      <c r="A26" s="1429"/>
      <c r="B26" s="1430"/>
      <c r="C26" s="1431"/>
      <c r="D26" s="173" t="s">
        <v>332</v>
      </c>
      <c r="E26" s="171" t="s">
        <v>333</v>
      </c>
      <c r="F26" s="171" t="s">
        <v>300</v>
      </c>
      <c r="G26" s="1302"/>
      <c r="H26" s="181"/>
      <c r="I26" s="181"/>
      <c r="J26" s="181"/>
      <c r="K26" s="181"/>
      <c r="L26" s="181"/>
    </row>
    <row r="27" spans="1:12" ht="15" customHeight="1">
      <c r="A27" s="1385" t="s">
        <v>283</v>
      </c>
      <c r="B27" s="1424"/>
      <c r="C27" s="1386"/>
      <c r="D27" s="92" t="s">
        <v>284</v>
      </c>
      <c r="E27" s="87" t="s">
        <v>301</v>
      </c>
      <c r="F27" s="87" t="s">
        <v>302</v>
      </c>
      <c r="G27" s="57" t="s">
        <v>303</v>
      </c>
      <c r="H27" s="181"/>
      <c r="I27" s="181"/>
      <c r="J27" s="181"/>
      <c r="K27" s="181"/>
      <c r="L27" s="181"/>
    </row>
    <row r="28" spans="1:12" ht="15.75" customHeight="1">
      <c r="A28" s="1051" t="s">
        <v>515</v>
      </c>
      <c r="B28" s="1053" t="s">
        <v>508</v>
      </c>
      <c r="C28" s="436"/>
      <c r="D28" s="365"/>
      <c r="E28" s="356"/>
      <c r="F28" s="356"/>
      <c r="G28" s="231"/>
      <c r="H28" s="181"/>
      <c r="I28" s="181"/>
      <c r="J28" s="181"/>
      <c r="K28" s="181"/>
      <c r="L28" s="181"/>
    </row>
    <row r="29" spans="1:12" ht="15.75" customHeight="1">
      <c r="A29" s="1417">
        <v>1</v>
      </c>
      <c r="B29" s="1418"/>
      <c r="C29" s="1052" t="s">
        <v>516</v>
      </c>
      <c r="D29" s="365"/>
      <c r="E29" s="356"/>
      <c r="F29" s="356"/>
      <c r="G29" s="231"/>
      <c r="H29" s="181"/>
      <c r="I29" s="181"/>
      <c r="J29" s="181"/>
      <c r="K29" s="181"/>
      <c r="L29" s="181"/>
    </row>
    <row r="30" spans="1:12" ht="15.75" customHeight="1">
      <c r="A30" s="1323"/>
      <c r="B30" s="1285"/>
      <c r="C30" s="436" t="s">
        <v>335</v>
      </c>
      <c r="D30" s="226">
        <v>175385</v>
      </c>
      <c r="E30" s="215">
        <v>30707</v>
      </c>
      <c r="F30" s="296">
        <f>D30+E30</f>
        <v>206092</v>
      </c>
      <c r="G30" s="438">
        <f>ROUND(F30/$F$46*100,2)</f>
        <v>18.36</v>
      </c>
      <c r="H30" s="181"/>
      <c r="I30" s="181"/>
      <c r="J30" s="181"/>
      <c r="K30" s="181"/>
      <c r="L30" s="181"/>
    </row>
    <row r="31" spans="1:12" ht="15.75" customHeight="1">
      <c r="A31" s="1323"/>
      <c r="B31" s="1285"/>
      <c r="C31" s="436" t="s">
        <v>334</v>
      </c>
      <c r="D31" s="226">
        <v>7216</v>
      </c>
      <c r="E31" s="215">
        <v>1624</v>
      </c>
      <c r="F31" s="296">
        <f>D31+E31</f>
        <v>8840</v>
      </c>
      <c r="G31" s="438">
        <f>ROUND(F31/$F$47*100,2)</f>
        <v>2.27</v>
      </c>
      <c r="H31" s="181"/>
      <c r="I31" s="181"/>
      <c r="J31" s="181"/>
      <c r="K31" s="181"/>
      <c r="L31" s="181"/>
    </row>
    <row r="32" spans="1:12" s="1159" customFormat="1" ht="15.75" customHeight="1">
      <c r="A32" s="1419"/>
      <c r="B32" s="1420"/>
      <c r="C32" s="1052" t="s">
        <v>511</v>
      </c>
      <c r="D32" s="381">
        <f>D30+D31</f>
        <v>182601</v>
      </c>
      <c r="E32" s="24">
        <f>E30+E31</f>
        <v>32331</v>
      </c>
      <c r="F32" s="223">
        <f>D32+E32</f>
        <v>214932</v>
      </c>
      <c r="G32" s="730">
        <f>ROUND(F32/$F$48*100,2)</f>
        <v>14.21</v>
      </c>
      <c r="H32" s="25"/>
      <c r="I32" s="25"/>
      <c r="J32" s="25"/>
      <c r="K32" s="25"/>
      <c r="L32" s="25"/>
    </row>
    <row r="33" spans="1:12" ht="15.75" customHeight="1">
      <c r="A33" s="1417">
        <v>2</v>
      </c>
      <c r="B33" s="1418"/>
      <c r="C33" s="1052" t="s">
        <v>517</v>
      </c>
      <c r="D33" s="232"/>
      <c r="E33" s="225"/>
      <c r="F33" s="296"/>
      <c r="G33" s="227"/>
      <c r="H33" s="181"/>
      <c r="I33" s="181"/>
      <c r="J33" s="181"/>
      <c r="K33" s="181"/>
      <c r="L33" s="181"/>
    </row>
    <row r="34" spans="1:12" ht="15.75" customHeight="1">
      <c r="A34" s="1323"/>
      <c r="B34" s="1285"/>
      <c r="C34" s="436" t="s">
        <v>335</v>
      </c>
      <c r="D34" s="226">
        <v>209741</v>
      </c>
      <c r="E34" s="215">
        <v>123632</v>
      </c>
      <c r="F34" s="296">
        <f>D34+E34</f>
        <v>333373</v>
      </c>
      <c r="G34" s="438">
        <f>ROUND(F34/$F$46*100,2)</f>
        <v>29.69</v>
      </c>
      <c r="H34" s="181"/>
      <c r="I34" s="181"/>
      <c r="J34" s="181"/>
      <c r="K34" s="181"/>
      <c r="L34" s="181"/>
    </row>
    <row r="35" spans="1:12" ht="15.75" customHeight="1">
      <c r="A35" s="1323"/>
      <c r="B35" s="1285"/>
      <c r="C35" s="436" t="s">
        <v>334</v>
      </c>
      <c r="D35" s="226">
        <v>10844</v>
      </c>
      <c r="E35" s="215">
        <v>5455</v>
      </c>
      <c r="F35" s="296">
        <f>D35+E35</f>
        <v>16299</v>
      </c>
      <c r="G35" s="438">
        <f>ROUND(F35/$F$47*100,2)</f>
        <v>4.18</v>
      </c>
      <c r="H35" s="181"/>
      <c r="I35" s="181"/>
      <c r="J35" s="181"/>
      <c r="K35" s="181"/>
      <c r="L35" s="181"/>
    </row>
    <row r="36" spans="1:12" s="1159" customFormat="1" ht="15.75" customHeight="1">
      <c r="A36" s="1419"/>
      <c r="B36" s="1420"/>
      <c r="C36" s="1052" t="s">
        <v>511</v>
      </c>
      <c r="D36" s="381">
        <f>D34+D35</f>
        <v>220585</v>
      </c>
      <c r="E36" s="24">
        <f>E34+E35</f>
        <v>129087</v>
      </c>
      <c r="F36" s="223">
        <f>D36+E36</f>
        <v>349672</v>
      </c>
      <c r="G36" s="730">
        <f>ROUND(F36/$F$48*100,2)</f>
        <v>23.11</v>
      </c>
      <c r="H36" s="25"/>
      <c r="I36" s="25"/>
      <c r="J36" s="25"/>
      <c r="K36" s="25"/>
      <c r="L36" s="25"/>
    </row>
    <row r="37" spans="1:12" ht="15.75" customHeight="1">
      <c r="A37" s="1417">
        <v>3</v>
      </c>
      <c r="B37" s="1418"/>
      <c r="C37" s="1052" t="s">
        <v>523</v>
      </c>
      <c r="D37" s="232"/>
      <c r="E37" s="225"/>
      <c r="F37" s="296"/>
      <c r="G37" s="227"/>
      <c r="H37" s="181"/>
      <c r="I37" s="181"/>
      <c r="J37" s="181"/>
      <c r="K37" s="181"/>
      <c r="L37" s="181"/>
    </row>
    <row r="38" spans="1:12" ht="15.75" customHeight="1">
      <c r="A38" s="1323"/>
      <c r="B38" s="1285"/>
      <c r="C38" s="436" t="s">
        <v>335</v>
      </c>
      <c r="D38" s="226">
        <v>11364</v>
      </c>
      <c r="E38" s="215">
        <v>8448</v>
      </c>
      <c r="F38" s="296">
        <f>D38+E38</f>
        <v>19812</v>
      </c>
      <c r="G38" s="438">
        <f>ROUND(F38/$F$46*100,2)</f>
        <v>1.76</v>
      </c>
      <c r="H38" s="181"/>
      <c r="I38" s="181"/>
      <c r="J38" s="181"/>
      <c r="K38" s="181"/>
      <c r="L38" s="181"/>
    </row>
    <row r="39" spans="1:12" ht="15.75" customHeight="1">
      <c r="A39" s="1323"/>
      <c r="B39" s="1285"/>
      <c r="C39" s="436" t="s">
        <v>334</v>
      </c>
      <c r="D39" s="226">
        <v>6285</v>
      </c>
      <c r="E39" s="215">
        <v>3993</v>
      </c>
      <c r="F39" s="296">
        <f>D39+E39</f>
        <v>10278</v>
      </c>
      <c r="G39" s="438">
        <f>ROUND(F39/$F$47*100,2)</f>
        <v>2.63</v>
      </c>
      <c r="H39" s="181"/>
      <c r="I39" s="181"/>
      <c r="J39" s="181"/>
      <c r="K39" s="181"/>
      <c r="L39" s="181"/>
    </row>
    <row r="40" spans="1:12" s="1159" customFormat="1" ht="15.75" customHeight="1">
      <c r="A40" s="1419"/>
      <c r="B40" s="1420"/>
      <c r="C40" s="1052" t="s">
        <v>511</v>
      </c>
      <c r="D40" s="381">
        <f>D38+D39</f>
        <v>17649</v>
      </c>
      <c r="E40" s="24">
        <f>E38+E39</f>
        <v>12441</v>
      </c>
      <c r="F40" s="223">
        <f>D40+E40</f>
        <v>30090</v>
      </c>
      <c r="G40" s="730">
        <f>ROUND(F40/$F$48*100,2)</f>
        <v>1.99</v>
      </c>
      <c r="H40" s="25"/>
      <c r="I40" s="25"/>
      <c r="J40" s="25"/>
      <c r="K40" s="25"/>
      <c r="L40" s="25"/>
    </row>
    <row r="41" spans="1:12" ht="15.75" customHeight="1">
      <c r="A41" s="1417">
        <v>4</v>
      </c>
      <c r="B41" s="1418"/>
      <c r="C41" s="1052" t="s">
        <v>524</v>
      </c>
      <c r="D41" s="232"/>
      <c r="E41" s="225"/>
      <c r="F41" s="296"/>
      <c r="G41" s="227"/>
      <c r="H41" s="181"/>
      <c r="I41" s="181"/>
      <c r="J41" s="181"/>
      <c r="K41" s="181"/>
      <c r="L41" s="181"/>
    </row>
    <row r="42" spans="1:12" ht="15.75" customHeight="1">
      <c r="A42" s="1323"/>
      <c r="B42" s="1285"/>
      <c r="C42" s="436" t="s">
        <v>335</v>
      </c>
      <c r="D42" s="226">
        <v>381762</v>
      </c>
      <c r="E42" s="215">
        <v>181738</v>
      </c>
      <c r="F42" s="296">
        <f>D42+E42</f>
        <v>563500</v>
      </c>
      <c r="G42" s="438">
        <f>ROUND(F42/$F$46*100,2)</f>
        <v>50.19</v>
      </c>
      <c r="H42" s="181"/>
      <c r="I42" s="181"/>
      <c r="J42" s="181"/>
      <c r="K42" s="181"/>
      <c r="L42" s="181"/>
    </row>
    <row r="43" spans="1:12" ht="15.75" customHeight="1">
      <c r="A43" s="1323"/>
      <c r="B43" s="1285"/>
      <c r="C43" s="436" t="s">
        <v>334</v>
      </c>
      <c r="D43" s="226">
        <v>288764</v>
      </c>
      <c r="E43" s="215">
        <v>65952</v>
      </c>
      <c r="F43" s="296">
        <f>D43+E43</f>
        <v>354716</v>
      </c>
      <c r="G43" s="438">
        <f>ROUND(F43/$F$47*100,2)</f>
        <v>90.92</v>
      </c>
      <c r="H43" s="181"/>
      <c r="I43" s="181"/>
      <c r="J43" s="181"/>
      <c r="K43" s="181"/>
      <c r="L43" s="181"/>
    </row>
    <row r="44" spans="1:12" s="1159" customFormat="1" ht="15.75" customHeight="1">
      <c r="A44" s="1419"/>
      <c r="B44" s="1420"/>
      <c r="C44" s="1052" t="s">
        <v>511</v>
      </c>
      <c r="D44" s="381">
        <f>D42+D43</f>
        <v>670526</v>
      </c>
      <c r="E44" s="24">
        <f>E42+E43</f>
        <v>247690</v>
      </c>
      <c r="F44" s="223">
        <f>D44+E44</f>
        <v>918216</v>
      </c>
      <c r="G44" s="730">
        <f>ROUND(F44/$F$48*100,2)</f>
        <v>60.69</v>
      </c>
      <c r="H44" s="25"/>
      <c r="I44" s="25"/>
      <c r="J44" s="25"/>
      <c r="K44" s="25"/>
      <c r="L44" s="25"/>
    </row>
    <row r="45" spans="1:12" ht="15.75" customHeight="1">
      <c r="A45" s="1419" t="s">
        <v>534</v>
      </c>
      <c r="B45" s="1420"/>
      <c r="C45" s="1421"/>
      <c r="D45" s="232"/>
      <c r="E45" s="225"/>
      <c r="F45" s="296"/>
      <c r="G45" s="227"/>
      <c r="H45" s="181"/>
      <c r="I45" s="181"/>
      <c r="J45" s="181"/>
      <c r="K45" s="181"/>
      <c r="L45" s="181"/>
    </row>
    <row r="46" spans="1:12" ht="15.75" customHeight="1">
      <c r="A46" s="1323"/>
      <c r="B46" s="1285"/>
      <c r="C46" s="436" t="s">
        <v>335</v>
      </c>
      <c r="D46" s="232">
        <f t="shared" ref="D46:E48" si="1">D30+D34+D38+D42</f>
        <v>778252</v>
      </c>
      <c r="E46" s="225">
        <f t="shared" si="1"/>
        <v>344525</v>
      </c>
      <c r="F46" s="296">
        <f>D46+E46</f>
        <v>1122777</v>
      </c>
      <c r="G46" s="438">
        <f>SUM(G42,G38,G34,G30)</f>
        <v>100</v>
      </c>
      <c r="H46" s="181"/>
      <c r="I46" s="181"/>
      <c r="J46" s="181"/>
      <c r="K46" s="181"/>
      <c r="L46" s="181"/>
    </row>
    <row r="47" spans="1:12" ht="15.75" customHeight="1">
      <c r="A47" s="1323"/>
      <c r="B47" s="1285"/>
      <c r="C47" s="436" t="s">
        <v>334</v>
      </c>
      <c r="D47" s="232">
        <f t="shared" si="1"/>
        <v>313109</v>
      </c>
      <c r="E47" s="225">
        <f t="shared" si="1"/>
        <v>77024</v>
      </c>
      <c r="F47" s="296">
        <f>D47+E47</f>
        <v>390133</v>
      </c>
      <c r="G47" s="438">
        <f>SUM(G43,G39,G35,G31)</f>
        <v>99.999999999999986</v>
      </c>
      <c r="H47" s="181"/>
      <c r="I47" s="181"/>
      <c r="J47" s="181"/>
      <c r="K47" s="181"/>
      <c r="L47" s="181"/>
    </row>
    <row r="48" spans="1:12" s="1159" customFormat="1" ht="15.75" customHeight="1">
      <c r="A48" s="1422"/>
      <c r="B48" s="1423"/>
      <c r="C48" s="1092" t="s">
        <v>511</v>
      </c>
      <c r="D48" s="29">
        <f t="shared" si="1"/>
        <v>1091361</v>
      </c>
      <c r="E48" s="29">
        <f t="shared" si="1"/>
        <v>421549</v>
      </c>
      <c r="F48" s="251">
        <f>D48+E48</f>
        <v>1512910</v>
      </c>
      <c r="G48" s="1090">
        <f>SUM(G44,G40,G36,G32)</f>
        <v>100</v>
      </c>
      <c r="H48" s="25"/>
      <c r="I48" s="25"/>
      <c r="J48" s="25"/>
      <c r="K48" s="25"/>
      <c r="L48" s="25"/>
    </row>
    <row r="49" spans="4:12">
      <c r="D49" s="31"/>
      <c r="E49" s="1416" t="s">
        <v>770</v>
      </c>
      <c r="F49" s="1416"/>
      <c r="G49" s="1416"/>
      <c r="H49" s="181"/>
      <c r="I49" s="181"/>
      <c r="J49" s="181"/>
      <c r="K49" s="181"/>
      <c r="L49" s="181"/>
    </row>
    <row r="50" spans="4:12">
      <c r="D50" s="181"/>
      <c r="E50" s="181"/>
      <c r="F50" s="181"/>
      <c r="G50" s="181"/>
      <c r="H50" s="181"/>
      <c r="I50" s="181"/>
      <c r="J50" s="181"/>
      <c r="K50" s="181"/>
      <c r="L50" s="181"/>
    </row>
    <row r="51" spans="4:12">
      <c r="D51" s="181"/>
      <c r="E51" s="181"/>
      <c r="F51" s="181"/>
      <c r="G51" s="181"/>
      <c r="H51" s="181"/>
      <c r="I51" s="181"/>
      <c r="J51" s="181"/>
      <c r="K51" s="181"/>
      <c r="L51" s="181"/>
    </row>
    <row r="52" spans="4:12">
      <c r="D52" s="181"/>
      <c r="E52" s="181"/>
      <c r="F52" s="181"/>
      <c r="G52" s="181"/>
      <c r="H52" s="181"/>
      <c r="I52" s="181"/>
      <c r="J52" s="181"/>
      <c r="K52" s="181"/>
      <c r="L52" s="181"/>
    </row>
    <row r="53" spans="4:12">
      <c r="D53" s="181"/>
      <c r="E53" s="181"/>
      <c r="F53" s="181"/>
      <c r="G53" s="181"/>
      <c r="H53" s="181"/>
      <c r="I53" s="181"/>
      <c r="J53" s="181"/>
      <c r="K53" s="181"/>
      <c r="L53" s="181"/>
    </row>
    <row r="54" spans="4:12">
      <c r="D54" s="181"/>
      <c r="E54" s="181"/>
      <c r="F54" s="181"/>
      <c r="G54" s="181"/>
      <c r="H54" s="181"/>
      <c r="I54" s="181"/>
      <c r="J54" s="181"/>
      <c r="K54" s="181"/>
      <c r="L54" s="181"/>
    </row>
  </sheetData>
  <mergeCells count="45">
    <mergeCell ref="A8:B8"/>
    <mergeCell ref="A9:B9"/>
    <mergeCell ref="A1:G1"/>
    <mergeCell ref="A2:G2"/>
    <mergeCell ref="A3:C5"/>
    <mergeCell ref="D3:F4"/>
    <mergeCell ref="G3:G5"/>
    <mergeCell ref="A6:C6"/>
    <mergeCell ref="G24:G26"/>
    <mergeCell ref="A27:C27"/>
    <mergeCell ref="A14:B14"/>
    <mergeCell ref="A15:B15"/>
    <mergeCell ref="A17:B17"/>
    <mergeCell ref="A18:B18"/>
    <mergeCell ref="A19:B19"/>
    <mergeCell ref="A21:B21"/>
    <mergeCell ref="A22:B22"/>
    <mergeCell ref="A23:B23"/>
    <mergeCell ref="A24:C26"/>
    <mergeCell ref="D24:F25"/>
    <mergeCell ref="A10:B10"/>
    <mergeCell ref="A11:B11"/>
    <mergeCell ref="A12:B12"/>
    <mergeCell ref="A13:B13"/>
    <mergeCell ref="A35:B35"/>
    <mergeCell ref="A36:B36"/>
    <mergeCell ref="A29:B29"/>
    <mergeCell ref="A30:B30"/>
    <mergeCell ref="A31:B31"/>
    <mergeCell ref="A32:B32"/>
    <mergeCell ref="A33:B33"/>
    <mergeCell ref="A34:B34"/>
    <mergeCell ref="A37:B37"/>
    <mergeCell ref="A38:B38"/>
    <mergeCell ref="A47:B47"/>
    <mergeCell ref="A48:B48"/>
    <mergeCell ref="A39:B39"/>
    <mergeCell ref="A40:B40"/>
    <mergeCell ref="E49:G49"/>
    <mergeCell ref="A41:B41"/>
    <mergeCell ref="A42:B42"/>
    <mergeCell ref="A43:B43"/>
    <mergeCell ref="A44:B44"/>
    <mergeCell ref="A45:C45"/>
    <mergeCell ref="A46:B46"/>
  </mergeCells>
  <phoneticPr fontId="120" type="noConversion"/>
  <printOptions horizontalCentered="1"/>
  <pageMargins left="0.1" right="0.1" top="0.54" bottom="0.1" header="0.5" footer="0.1"/>
  <pageSetup paperSize="9" orientation="portrait" blackAndWhite="1" r:id="rId1"/>
  <headerFooter alignWithMargins="0"/>
</worksheet>
</file>

<file path=xl/worksheets/sheet18.xml><?xml version="1.0" encoding="utf-8"?>
<worksheet xmlns="http://schemas.openxmlformats.org/spreadsheetml/2006/main" xmlns:r="http://schemas.openxmlformats.org/officeDocument/2006/relationships">
  <sheetPr codeName="Sheet21"/>
  <dimension ref="A1:G49"/>
  <sheetViews>
    <sheetView topLeftCell="A19" workbookViewId="0">
      <selection activeCell="G16" sqref="G16"/>
    </sheetView>
  </sheetViews>
  <sheetFormatPr defaultRowHeight="12.75"/>
  <cols>
    <col min="1" max="1" width="19.85546875" customWidth="1"/>
    <col min="2" max="7" width="12.28515625" customWidth="1"/>
  </cols>
  <sheetData>
    <row r="1" spans="1:7">
      <c r="A1" s="1286" t="s">
        <v>403</v>
      </c>
      <c r="B1" s="1286"/>
      <c r="C1" s="1286"/>
      <c r="D1" s="1286"/>
      <c r="E1" s="1286"/>
      <c r="F1" s="1286"/>
      <c r="G1" s="1286"/>
    </row>
    <row r="2" spans="1:7" ht="35.25" customHeight="1">
      <c r="A2" s="1437" t="str">
        <f>CONCATENATE("Scheduled Caste and Scheduled Tribe Population by sex 
in the district of ",District!$A$1,", 2011")</f>
        <v>Scheduled Caste and Scheduled Tribe Population by sex 
in the district of Jalpaiguri, 2011</v>
      </c>
      <c r="B2" s="1437"/>
      <c r="C2" s="1437"/>
      <c r="D2" s="1437"/>
      <c r="E2" s="1437"/>
      <c r="F2" s="1437"/>
      <c r="G2" s="1437"/>
    </row>
    <row r="3" spans="1:7" ht="12" customHeight="1">
      <c r="A3" s="359"/>
      <c r="B3" s="405"/>
      <c r="C3" s="405"/>
      <c r="D3" s="405"/>
      <c r="E3" s="405"/>
      <c r="F3" s="405"/>
      <c r="G3" s="665" t="s">
        <v>312</v>
      </c>
    </row>
    <row r="4" spans="1:7" ht="15.75" customHeight="1">
      <c r="A4" s="1299" t="s">
        <v>845</v>
      </c>
      <c r="B4" s="1444" t="s">
        <v>734</v>
      </c>
      <c r="C4" s="1444"/>
      <c r="D4" s="1444"/>
      <c r="E4" s="1445" t="s">
        <v>735</v>
      </c>
      <c r="F4" s="1444"/>
      <c r="G4" s="1446"/>
    </row>
    <row r="5" spans="1:7" ht="14.25" customHeight="1">
      <c r="A5" s="1302"/>
      <c r="B5" s="171" t="s">
        <v>332</v>
      </c>
      <c r="C5" s="171" t="s">
        <v>333</v>
      </c>
      <c r="D5" s="171" t="s">
        <v>300</v>
      </c>
      <c r="E5" s="173" t="s">
        <v>332</v>
      </c>
      <c r="F5" s="171" t="s">
        <v>333</v>
      </c>
      <c r="G5" s="172" t="s">
        <v>300</v>
      </c>
    </row>
    <row r="6" spans="1:7" ht="15" customHeight="1">
      <c r="A6" s="57" t="s">
        <v>278</v>
      </c>
      <c r="B6" s="87" t="s">
        <v>279</v>
      </c>
      <c r="C6" s="87" t="s">
        <v>280</v>
      </c>
      <c r="D6" s="87" t="s">
        <v>281</v>
      </c>
      <c r="E6" s="92" t="s">
        <v>282</v>
      </c>
      <c r="F6" s="87" t="s">
        <v>283</v>
      </c>
      <c r="G6" s="58" t="s">
        <v>284</v>
      </c>
    </row>
    <row r="7" spans="1:7" ht="15" customHeight="1">
      <c r="A7" s="222" t="s">
        <v>547</v>
      </c>
      <c r="B7" s="238">
        <f t="shared" ref="B7:G7" si="0">SUM(B8:B14)</f>
        <v>455186</v>
      </c>
      <c r="C7" s="238">
        <f t="shared" si="0"/>
        <v>428474</v>
      </c>
      <c r="D7" s="564">
        <f t="shared" si="0"/>
        <v>883660</v>
      </c>
      <c r="E7" s="223">
        <f t="shared" si="0"/>
        <v>64607</v>
      </c>
      <c r="F7" s="223">
        <f t="shared" si="0"/>
        <v>65469</v>
      </c>
      <c r="G7" s="211">
        <f t="shared" si="0"/>
        <v>130076</v>
      </c>
    </row>
    <row r="8" spans="1:7" ht="15" customHeight="1">
      <c r="A8" s="133" t="s">
        <v>561</v>
      </c>
      <c r="B8" s="1">
        <v>95442</v>
      </c>
      <c r="C8" s="1">
        <v>89804</v>
      </c>
      <c r="D8" s="216">
        <f t="shared" ref="D8:D14" si="1">B8+C8</f>
        <v>185246</v>
      </c>
      <c r="E8" s="1">
        <v>7848</v>
      </c>
      <c r="F8" s="1">
        <v>7538</v>
      </c>
      <c r="G8" s="216">
        <f t="shared" ref="G8:G14" si="2">E8+F8</f>
        <v>15386</v>
      </c>
    </row>
    <row r="9" spans="1:7" ht="15" customHeight="1">
      <c r="A9" s="133" t="s">
        <v>1149</v>
      </c>
      <c r="B9" s="1">
        <v>100939</v>
      </c>
      <c r="C9" s="1">
        <v>95653</v>
      </c>
      <c r="D9" s="216">
        <f t="shared" si="1"/>
        <v>196592</v>
      </c>
      <c r="E9" s="1">
        <v>9722</v>
      </c>
      <c r="F9" s="1">
        <v>9870</v>
      </c>
      <c r="G9" s="216">
        <f t="shared" si="2"/>
        <v>19592</v>
      </c>
    </row>
    <row r="10" spans="1:7" ht="15" customHeight="1">
      <c r="A10" s="133" t="s">
        <v>562</v>
      </c>
      <c r="B10" s="1">
        <v>12016</v>
      </c>
      <c r="C10" s="1">
        <v>11745</v>
      </c>
      <c r="D10" s="216">
        <f t="shared" si="1"/>
        <v>23761</v>
      </c>
      <c r="E10" s="1">
        <v>523</v>
      </c>
      <c r="F10" s="1">
        <v>452</v>
      </c>
      <c r="G10" s="216">
        <f t="shared" si="2"/>
        <v>975</v>
      </c>
    </row>
    <row r="11" spans="1:7" ht="15" customHeight="1">
      <c r="A11" s="133" t="s">
        <v>549</v>
      </c>
      <c r="B11" s="1">
        <v>121477</v>
      </c>
      <c r="C11" s="1">
        <v>112810</v>
      </c>
      <c r="D11" s="216">
        <f t="shared" si="1"/>
        <v>234287</v>
      </c>
      <c r="E11" s="1">
        <v>2217</v>
      </c>
      <c r="F11" s="1">
        <v>2111</v>
      </c>
      <c r="G11" s="216">
        <f t="shared" si="2"/>
        <v>4328</v>
      </c>
    </row>
    <row r="12" spans="1:7" ht="15" customHeight="1">
      <c r="A12" s="133" t="s">
        <v>550</v>
      </c>
      <c r="B12" s="1">
        <v>98006</v>
      </c>
      <c r="C12" s="1">
        <v>92810</v>
      </c>
      <c r="D12" s="216">
        <f t="shared" si="1"/>
        <v>190816</v>
      </c>
      <c r="E12" s="1">
        <v>43050</v>
      </c>
      <c r="F12" s="1">
        <v>44223</v>
      </c>
      <c r="G12" s="216">
        <f t="shared" si="2"/>
        <v>87273</v>
      </c>
    </row>
    <row r="13" spans="1:7" ht="15" customHeight="1">
      <c r="A13" s="133" t="s">
        <v>563</v>
      </c>
      <c r="B13" s="1">
        <v>7828</v>
      </c>
      <c r="C13" s="1">
        <v>7413</v>
      </c>
      <c r="D13" s="216">
        <f t="shared" si="1"/>
        <v>15241</v>
      </c>
      <c r="E13" s="1">
        <v>37</v>
      </c>
      <c r="F13" s="1">
        <v>48</v>
      </c>
      <c r="G13" s="216">
        <f t="shared" si="2"/>
        <v>85</v>
      </c>
    </row>
    <row r="14" spans="1:7" ht="15" customHeight="1">
      <c r="A14" s="133" t="s">
        <v>765</v>
      </c>
      <c r="B14" s="1">
        <v>19478</v>
      </c>
      <c r="C14" s="1">
        <v>18239</v>
      </c>
      <c r="D14" s="216">
        <f t="shared" si="1"/>
        <v>37717</v>
      </c>
      <c r="E14" s="1">
        <v>1210</v>
      </c>
      <c r="F14" s="1">
        <v>1227</v>
      </c>
      <c r="G14" s="216">
        <f t="shared" si="2"/>
        <v>2437</v>
      </c>
    </row>
    <row r="15" spans="1:7" ht="15" customHeight="1">
      <c r="A15" s="228" t="s">
        <v>551</v>
      </c>
      <c r="B15" s="238">
        <f t="shared" ref="B15:G15" si="3">SUM(B16:B19)</f>
        <v>60448</v>
      </c>
      <c r="C15" s="238">
        <f t="shared" si="3"/>
        <v>57461</v>
      </c>
      <c r="D15" s="211">
        <f t="shared" si="3"/>
        <v>117909</v>
      </c>
      <c r="E15" s="223">
        <f t="shared" si="3"/>
        <v>109345</v>
      </c>
      <c r="F15" s="223">
        <f t="shared" si="3"/>
        <v>110169</v>
      </c>
      <c r="G15" s="211">
        <f t="shared" si="3"/>
        <v>219514</v>
      </c>
    </row>
    <row r="16" spans="1:7" ht="15" customHeight="1">
      <c r="A16" s="133" t="s">
        <v>552</v>
      </c>
      <c r="B16" s="1">
        <v>41463</v>
      </c>
      <c r="C16" s="1">
        <v>38937</v>
      </c>
      <c r="D16" s="216">
        <f>B16+C16</f>
        <v>80400</v>
      </c>
      <c r="E16" s="1">
        <v>51664</v>
      </c>
      <c r="F16" s="1">
        <v>51692</v>
      </c>
      <c r="G16" s="216">
        <f>E16+F16</f>
        <v>103356</v>
      </c>
    </row>
    <row r="17" spans="1:7" ht="15" customHeight="1">
      <c r="A17" s="133" t="s">
        <v>565</v>
      </c>
      <c r="B17" s="1">
        <v>1127</v>
      </c>
      <c r="C17" s="1">
        <v>1134</v>
      </c>
      <c r="D17" s="216">
        <f t="shared" ref="D17:D27" si="4">B17+C17</f>
        <v>2261</v>
      </c>
      <c r="E17" s="1">
        <v>869</v>
      </c>
      <c r="F17" s="1">
        <v>876</v>
      </c>
      <c r="G17" s="216">
        <f t="shared" ref="G17:G27" si="5">E17+F17</f>
        <v>1745</v>
      </c>
    </row>
    <row r="18" spans="1:7" ht="15" customHeight="1">
      <c r="A18" s="133" t="s">
        <v>553</v>
      </c>
      <c r="B18" s="1">
        <v>8874</v>
      </c>
      <c r="C18" s="1">
        <v>8748</v>
      </c>
      <c r="D18" s="216">
        <f t="shared" si="4"/>
        <v>17622</v>
      </c>
      <c r="E18" s="1">
        <v>25705</v>
      </c>
      <c r="F18" s="1">
        <v>26084</v>
      </c>
      <c r="G18" s="216">
        <f t="shared" si="5"/>
        <v>51789</v>
      </c>
    </row>
    <row r="19" spans="1:7" ht="15" customHeight="1">
      <c r="A19" s="133" t="s">
        <v>554</v>
      </c>
      <c r="B19" s="1">
        <v>8984</v>
      </c>
      <c r="C19" s="1">
        <v>8642</v>
      </c>
      <c r="D19" s="216">
        <f t="shared" si="4"/>
        <v>17626</v>
      </c>
      <c r="E19" s="1">
        <v>31107</v>
      </c>
      <c r="F19" s="1">
        <v>31517</v>
      </c>
      <c r="G19" s="216">
        <f t="shared" si="5"/>
        <v>62624</v>
      </c>
    </row>
    <row r="20" spans="1:7" ht="15" customHeight="1">
      <c r="A20" s="228" t="s">
        <v>556</v>
      </c>
      <c r="B20" s="210">
        <f t="shared" ref="B20:G20" si="6">SUM(B21:B27)</f>
        <v>235207</v>
      </c>
      <c r="C20" s="210">
        <f t="shared" si="6"/>
        <v>221502</v>
      </c>
      <c r="D20" s="241">
        <f t="shared" si="6"/>
        <v>456709</v>
      </c>
      <c r="E20" s="210">
        <f t="shared" si="6"/>
        <v>191916</v>
      </c>
      <c r="F20" s="210">
        <f t="shared" si="6"/>
        <v>190198</v>
      </c>
      <c r="G20" s="241">
        <f t="shared" si="6"/>
        <v>382114</v>
      </c>
    </row>
    <row r="21" spans="1:7" ht="15" customHeight="1">
      <c r="A21" s="133" t="s">
        <v>555</v>
      </c>
      <c r="B21" s="1">
        <v>37128</v>
      </c>
      <c r="C21" s="1">
        <v>34289</v>
      </c>
      <c r="D21" s="216">
        <f t="shared" si="4"/>
        <v>71417</v>
      </c>
      <c r="E21" s="1">
        <v>30237</v>
      </c>
      <c r="F21" s="1">
        <v>29640</v>
      </c>
      <c r="G21" s="216">
        <f t="shared" si="5"/>
        <v>59877</v>
      </c>
    </row>
    <row r="22" spans="1:7" ht="15" customHeight="1">
      <c r="A22" s="133" t="s">
        <v>557</v>
      </c>
      <c r="B22" s="1">
        <v>61202</v>
      </c>
      <c r="C22" s="1">
        <v>57079</v>
      </c>
      <c r="D22" s="216">
        <f t="shared" si="4"/>
        <v>118281</v>
      </c>
      <c r="E22" s="1">
        <v>23537</v>
      </c>
      <c r="F22" s="1">
        <v>22756</v>
      </c>
      <c r="G22" s="216">
        <f t="shared" si="5"/>
        <v>46293</v>
      </c>
    </row>
    <row r="23" spans="1:7" ht="15" customHeight="1">
      <c r="A23" s="133" t="s">
        <v>560</v>
      </c>
      <c r="B23" s="1">
        <v>14406</v>
      </c>
      <c r="C23" s="1">
        <v>14407</v>
      </c>
      <c r="D23" s="216">
        <f t="shared" si="4"/>
        <v>28813</v>
      </c>
      <c r="E23" s="1">
        <v>38975</v>
      </c>
      <c r="F23" s="1">
        <v>39339</v>
      </c>
      <c r="G23" s="216">
        <f t="shared" si="5"/>
        <v>78314</v>
      </c>
    </row>
    <row r="24" spans="1:7" ht="15" customHeight="1">
      <c r="A24" s="133" t="s">
        <v>566</v>
      </c>
      <c r="B24" s="1">
        <v>15115</v>
      </c>
      <c r="C24" s="1">
        <v>15042</v>
      </c>
      <c r="D24" s="216">
        <f t="shared" si="4"/>
        <v>30157</v>
      </c>
      <c r="E24" s="1">
        <v>59744</v>
      </c>
      <c r="F24" s="1">
        <v>60538</v>
      </c>
      <c r="G24" s="216">
        <f t="shared" si="5"/>
        <v>120282</v>
      </c>
    </row>
    <row r="25" spans="1:7" ht="15" customHeight="1">
      <c r="A25" s="133" t="s">
        <v>567</v>
      </c>
      <c r="B25" s="1">
        <v>54241</v>
      </c>
      <c r="C25" s="1">
        <v>50776</v>
      </c>
      <c r="D25" s="216">
        <f t="shared" si="4"/>
        <v>105017</v>
      </c>
      <c r="E25" s="1">
        <v>18774</v>
      </c>
      <c r="F25" s="1">
        <v>17831</v>
      </c>
      <c r="G25" s="216">
        <f t="shared" si="5"/>
        <v>36605</v>
      </c>
    </row>
    <row r="26" spans="1:7" ht="15" customHeight="1">
      <c r="A26" s="133" t="s">
        <v>568</v>
      </c>
      <c r="B26" s="1">
        <v>6054</v>
      </c>
      <c r="C26" s="1">
        <v>5717</v>
      </c>
      <c r="D26" s="216">
        <f t="shared" si="4"/>
        <v>11771</v>
      </c>
      <c r="E26" s="1">
        <v>263</v>
      </c>
      <c r="F26" s="1">
        <v>235</v>
      </c>
      <c r="G26" s="216">
        <f t="shared" si="5"/>
        <v>498</v>
      </c>
    </row>
    <row r="27" spans="1:7" ht="15" customHeight="1">
      <c r="A27" s="242" t="s">
        <v>569</v>
      </c>
      <c r="B27" s="1">
        <v>47061</v>
      </c>
      <c r="C27" s="1">
        <v>44192</v>
      </c>
      <c r="D27" s="236">
        <f t="shared" si="4"/>
        <v>91253</v>
      </c>
      <c r="E27" s="1">
        <v>20386</v>
      </c>
      <c r="F27" s="1">
        <v>19859</v>
      </c>
      <c r="G27" s="216">
        <f t="shared" si="5"/>
        <v>40245</v>
      </c>
    </row>
    <row r="28" spans="1:7">
      <c r="A28" s="440" t="s">
        <v>1492</v>
      </c>
      <c r="B28" s="740"/>
      <c r="C28" s="312"/>
      <c r="D28" s="290"/>
      <c r="E28" s="312"/>
      <c r="F28" s="312"/>
      <c r="G28" s="290"/>
    </row>
    <row r="29" spans="1:7">
      <c r="A29" s="259" t="s">
        <v>535</v>
      </c>
      <c r="B29" s="239">
        <f t="shared" ref="B29:G29" si="7">B30+B31</f>
        <v>750841</v>
      </c>
      <c r="C29" s="223">
        <f t="shared" si="7"/>
        <v>707437</v>
      </c>
      <c r="D29" s="211">
        <f t="shared" si="7"/>
        <v>1458278</v>
      </c>
      <c r="E29" s="223">
        <f t="shared" si="7"/>
        <v>365868</v>
      </c>
      <c r="F29" s="223">
        <f t="shared" si="7"/>
        <v>365836</v>
      </c>
      <c r="G29" s="211">
        <f t="shared" si="7"/>
        <v>731704</v>
      </c>
    </row>
    <row r="30" spans="1:7">
      <c r="A30" s="441" t="s">
        <v>536</v>
      </c>
      <c r="B30" s="741">
        <v>597567</v>
      </c>
      <c r="C30" s="442">
        <v>561824</v>
      </c>
      <c r="D30" s="443">
        <f>B30+C30</f>
        <v>1159391</v>
      </c>
      <c r="E30" s="442">
        <v>345035</v>
      </c>
      <c r="F30" s="442">
        <v>345277</v>
      </c>
      <c r="G30" s="443">
        <f>E30+F30</f>
        <v>690312</v>
      </c>
    </row>
    <row r="31" spans="1:7">
      <c r="A31" s="444" t="s">
        <v>544</v>
      </c>
      <c r="B31" s="742">
        <v>153274</v>
      </c>
      <c r="C31" s="445">
        <v>145613</v>
      </c>
      <c r="D31" s="446">
        <f>B31+C31</f>
        <v>298887</v>
      </c>
      <c r="E31" s="445">
        <v>20833</v>
      </c>
      <c r="F31" s="445">
        <v>20559</v>
      </c>
      <c r="G31" s="446">
        <f>E31+F31</f>
        <v>41392</v>
      </c>
    </row>
    <row r="32" spans="1:7">
      <c r="A32" s="359"/>
      <c r="B32" s="359"/>
      <c r="C32" s="359"/>
      <c r="D32" s="359"/>
      <c r="F32" s="360"/>
      <c r="G32" s="858" t="s">
        <v>770</v>
      </c>
    </row>
    <row r="33" spans="1:7">
      <c r="A33" s="359"/>
      <c r="B33" s="359"/>
      <c r="C33" s="359"/>
      <c r="D33" s="359"/>
      <c r="E33" s="360"/>
      <c r="F33" s="360"/>
      <c r="G33" s="360"/>
    </row>
    <row r="34" spans="1:7">
      <c r="A34" s="1286" t="s">
        <v>404</v>
      </c>
      <c r="B34" s="1286"/>
      <c r="C34" s="1286"/>
      <c r="D34" s="1286"/>
      <c r="E34" s="1286"/>
      <c r="F34" s="1286"/>
      <c r="G34" s="1286"/>
    </row>
    <row r="35" spans="1:7" ht="16.5">
      <c r="A35" s="1437" t="str">
        <f>CONCATENATE("Population by religion in the district of ",District!$A$1,,", 1991 and 2001")</f>
        <v>Population by religion in the district of Jalpaiguri, 1991 and 2001</v>
      </c>
      <c r="B35" s="1437"/>
      <c r="C35" s="1437"/>
      <c r="D35" s="1437"/>
      <c r="E35" s="1437"/>
      <c r="F35" s="1437"/>
      <c r="G35" s="1437"/>
    </row>
    <row r="36" spans="1:7" ht="12.75" customHeight="1">
      <c r="A36" s="359"/>
      <c r="B36" s="405"/>
      <c r="C36" s="405"/>
      <c r="D36" s="405"/>
      <c r="E36" s="405"/>
      <c r="F36" s="1054" t="s">
        <v>235</v>
      </c>
    </row>
    <row r="37" spans="1:7" ht="15.75" customHeight="1">
      <c r="A37" s="1299" t="s">
        <v>1219</v>
      </c>
      <c r="B37" s="1439">
        <v>1991</v>
      </c>
      <c r="C37" s="1440"/>
      <c r="D37" s="1441"/>
      <c r="E37" s="1439">
        <v>2001</v>
      </c>
      <c r="F37" s="1440"/>
      <c r="G37" s="1441"/>
    </row>
    <row r="38" spans="1:7" ht="39" customHeight="1">
      <c r="A38" s="1302"/>
      <c r="B38" s="1442" t="s">
        <v>110</v>
      </c>
      <c r="C38" s="1443"/>
      <c r="D38" s="447" t="s">
        <v>1220</v>
      </c>
      <c r="E38" s="1442" t="s">
        <v>790</v>
      </c>
      <c r="F38" s="1443"/>
      <c r="G38" s="373" t="s">
        <v>1220</v>
      </c>
    </row>
    <row r="39" spans="1:7" ht="15.95" customHeight="1">
      <c r="A39" s="57" t="s">
        <v>278</v>
      </c>
      <c r="B39" s="1385" t="s">
        <v>279</v>
      </c>
      <c r="C39" s="1386"/>
      <c r="D39" s="58" t="s">
        <v>280</v>
      </c>
      <c r="E39" s="1385" t="s">
        <v>281</v>
      </c>
      <c r="F39" s="1386"/>
      <c r="G39" s="57" t="s">
        <v>282</v>
      </c>
    </row>
    <row r="40" spans="1:7" ht="17.25" customHeight="1">
      <c r="A40" s="231" t="s">
        <v>1527</v>
      </c>
      <c r="B40" s="1324">
        <v>2375168</v>
      </c>
      <c r="C40" s="1316"/>
      <c r="D40" s="233">
        <f>ROUND(B40/$B$48*100,2)</f>
        <v>84.81</v>
      </c>
      <c r="E40" s="1324">
        <v>2833229</v>
      </c>
      <c r="F40" s="1316"/>
      <c r="G40" s="234">
        <f t="shared" ref="G40:G47" si="8">ROUND(E40/$E$48*100,2)</f>
        <v>83.3</v>
      </c>
    </row>
    <row r="41" spans="1:7" ht="17.25" customHeight="1">
      <c r="A41" s="231" t="s">
        <v>1528</v>
      </c>
      <c r="B41" s="1324">
        <v>281054</v>
      </c>
      <c r="C41" s="1316"/>
      <c r="D41" s="233">
        <f>ROUND(B41/$B$48*100,2)</f>
        <v>10.039999999999999</v>
      </c>
      <c r="E41" s="1324">
        <v>369195</v>
      </c>
      <c r="F41" s="1316"/>
      <c r="G41" s="234">
        <f t="shared" si="8"/>
        <v>10.85</v>
      </c>
    </row>
    <row r="42" spans="1:7" ht="17.25" customHeight="1">
      <c r="A42" s="231" t="s">
        <v>1529</v>
      </c>
      <c r="B42" s="1324">
        <v>107969</v>
      </c>
      <c r="C42" s="1316"/>
      <c r="D42" s="233">
        <f>ROUND(B42/$B$48*100,2)-0.01</f>
        <v>3.85</v>
      </c>
      <c r="E42" s="1324">
        <v>147654</v>
      </c>
      <c r="F42" s="1316"/>
      <c r="G42" s="234">
        <f t="shared" si="8"/>
        <v>4.34</v>
      </c>
    </row>
    <row r="43" spans="1:7" ht="17.25" customHeight="1">
      <c r="A43" s="231" t="s">
        <v>1530</v>
      </c>
      <c r="B43" s="1324">
        <v>1607</v>
      </c>
      <c r="C43" s="1316"/>
      <c r="D43" s="233">
        <f>ROUND(B43/$B$48*100,2)</f>
        <v>0.06</v>
      </c>
      <c r="E43" s="1324">
        <v>1656</v>
      </c>
      <c r="F43" s="1316"/>
      <c r="G43" s="234">
        <f t="shared" si="8"/>
        <v>0.05</v>
      </c>
    </row>
    <row r="44" spans="1:7" ht="17.25" customHeight="1">
      <c r="A44" s="231" t="s">
        <v>1531</v>
      </c>
      <c r="B44" s="1324">
        <v>31633</v>
      </c>
      <c r="C44" s="1316"/>
      <c r="D44" s="233">
        <f>ROUND(B44/$B$48*100,2)</f>
        <v>1.1299999999999999</v>
      </c>
      <c r="E44" s="1324">
        <v>43734</v>
      </c>
      <c r="F44" s="1316"/>
      <c r="G44" s="234">
        <f t="shared" si="8"/>
        <v>1.29</v>
      </c>
    </row>
    <row r="45" spans="1:7" ht="17.25" customHeight="1">
      <c r="A45" s="231" t="s">
        <v>1532</v>
      </c>
      <c r="B45" s="1324">
        <v>862</v>
      </c>
      <c r="C45" s="1316"/>
      <c r="D45" s="233">
        <f>ROUND(B45/$B$48*100,2)</f>
        <v>0.03</v>
      </c>
      <c r="E45" s="1324">
        <v>976</v>
      </c>
      <c r="F45" s="1316"/>
      <c r="G45" s="234">
        <f t="shared" si="8"/>
        <v>0.03</v>
      </c>
    </row>
    <row r="46" spans="1:7" ht="17.25" customHeight="1">
      <c r="A46" s="231" t="s">
        <v>545</v>
      </c>
      <c r="B46" s="1324">
        <v>2250</v>
      </c>
      <c r="C46" s="1316"/>
      <c r="D46" s="233">
        <f>ROUND(B46/$B$48*100,2)</f>
        <v>0.08</v>
      </c>
      <c r="E46" s="1324">
        <v>3483</v>
      </c>
      <c r="F46" s="1316"/>
      <c r="G46" s="234">
        <f t="shared" si="8"/>
        <v>0.1</v>
      </c>
    </row>
    <row r="47" spans="1:7" ht="17.25" customHeight="1">
      <c r="A47" s="231" t="s">
        <v>546</v>
      </c>
      <c r="B47" s="1324" t="s">
        <v>794</v>
      </c>
      <c r="C47" s="1316"/>
      <c r="D47" s="233" t="s">
        <v>794</v>
      </c>
      <c r="E47" s="1447">
        <v>1246</v>
      </c>
      <c r="F47" s="1448"/>
      <c r="G47" s="234">
        <f t="shared" si="8"/>
        <v>0.04</v>
      </c>
    </row>
    <row r="48" spans="1:7" ht="15.95" customHeight="1">
      <c r="A48" s="230" t="s">
        <v>793</v>
      </c>
      <c r="B48" s="1305">
        <f>SUM(B40:B47)</f>
        <v>2800543</v>
      </c>
      <c r="C48" s="1306"/>
      <c r="D48" s="220">
        <f>SUM(D40:D47)</f>
        <v>99.999999999999986</v>
      </c>
      <c r="E48" s="1389">
        <f>SUM(E40:E47)</f>
        <v>3401173</v>
      </c>
      <c r="F48" s="1390"/>
      <c r="G48" s="237">
        <f>E48/$E$48*100</f>
        <v>100</v>
      </c>
    </row>
    <row r="49" spans="1:7">
      <c r="A49" s="890" t="s">
        <v>1512</v>
      </c>
      <c r="B49" s="359"/>
      <c r="C49" s="359"/>
      <c r="D49" s="360"/>
      <c r="E49" s="1416" t="s">
        <v>330</v>
      </c>
      <c r="F49" s="1416"/>
      <c r="G49" s="1416"/>
    </row>
  </sheetData>
  <mergeCells count="33">
    <mergeCell ref="E48:F48"/>
    <mergeCell ref="B47:C47"/>
    <mergeCell ref="B48:C48"/>
    <mergeCell ref="B45:C45"/>
    <mergeCell ref="E47:F47"/>
    <mergeCell ref="B46:C46"/>
    <mergeCell ref="A2:G2"/>
    <mergeCell ref="A4:A5"/>
    <mergeCell ref="B4:D4"/>
    <mergeCell ref="E4:G4"/>
    <mergeCell ref="B39:C39"/>
    <mergeCell ref="A37:A38"/>
    <mergeCell ref="E42:F42"/>
    <mergeCell ref="B41:C41"/>
    <mergeCell ref="B40:C40"/>
    <mergeCell ref="B42:C42"/>
    <mergeCell ref="E37:G37"/>
    <mergeCell ref="B44:C44"/>
    <mergeCell ref="B43:C43"/>
    <mergeCell ref="E49:G49"/>
    <mergeCell ref="A1:G1"/>
    <mergeCell ref="E45:F45"/>
    <mergeCell ref="E46:F46"/>
    <mergeCell ref="E39:F39"/>
    <mergeCell ref="E40:F40"/>
    <mergeCell ref="A34:G34"/>
    <mergeCell ref="B37:D37"/>
    <mergeCell ref="E38:F38"/>
    <mergeCell ref="E43:F43"/>
    <mergeCell ref="E44:F44"/>
    <mergeCell ref="A35:G35"/>
    <mergeCell ref="B38:C38"/>
    <mergeCell ref="E41:F41"/>
  </mergeCells>
  <phoneticPr fontId="0" type="noConversion"/>
  <printOptions horizontalCentered="1"/>
  <pageMargins left="0.1" right="0.1" top="0.48" bottom="0.1" header="0.39" footer="0.1"/>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sheetPr codeName="Sheet16"/>
  <dimension ref="A1:AC29"/>
  <sheetViews>
    <sheetView workbookViewId="0">
      <selection activeCell="G16" sqref="G16"/>
    </sheetView>
  </sheetViews>
  <sheetFormatPr defaultRowHeight="12.75"/>
  <cols>
    <col min="1" max="1" width="22.42578125" customWidth="1"/>
    <col min="2" max="13" width="9.42578125" customWidth="1"/>
    <col min="14" max="14" width="22.140625" customWidth="1"/>
    <col min="15" max="15" width="8" customWidth="1"/>
    <col min="16" max="26" width="7.5703125" customWidth="1"/>
    <col min="27" max="29" width="9" customWidth="1"/>
  </cols>
  <sheetData>
    <row r="1" spans="1:29">
      <c r="A1" s="1393" t="s">
        <v>405</v>
      </c>
      <c r="B1" s="1393"/>
      <c r="C1" s="1393"/>
      <c r="D1" s="1393"/>
      <c r="E1" s="1393"/>
      <c r="F1" s="1393"/>
      <c r="G1" s="1393"/>
      <c r="H1" s="1393"/>
      <c r="I1" s="1393"/>
      <c r="J1" s="1393"/>
      <c r="K1" s="1393"/>
      <c r="L1" s="1393"/>
      <c r="M1" s="1393"/>
      <c r="N1" s="1393" t="s">
        <v>801</v>
      </c>
      <c r="O1" s="1393"/>
      <c r="P1" s="1393"/>
      <c r="Q1" s="1393"/>
      <c r="R1" s="1393"/>
      <c r="S1" s="1393"/>
      <c r="T1" s="1393"/>
      <c r="U1" s="1393"/>
      <c r="V1" s="1393"/>
      <c r="W1" s="1393"/>
      <c r="X1" s="1393"/>
      <c r="Y1" s="1393"/>
      <c r="Z1" s="1393"/>
      <c r="AA1" s="1393"/>
      <c r="AB1" s="1393"/>
      <c r="AC1" s="1393"/>
    </row>
    <row r="2" spans="1:29" ht="16.5">
      <c r="A2" s="1449" t="s">
        <v>1031</v>
      </c>
      <c r="B2" s="1449"/>
      <c r="C2" s="1449"/>
      <c r="D2" s="1449"/>
      <c r="E2" s="1449"/>
      <c r="F2" s="1449"/>
      <c r="G2" s="1449"/>
      <c r="H2" s="1449"/>
      <c r="I2" s="1449"/>
      <c r="J2" s="1449"/>
      <c r="K2" s="1449"/>
      <c r="L2" s="1449"/>
      <c r="M2" s="1449"/>
      <c r="N2" s="620"/>
      <c r="O2" s="620"/>
      <c r="P2" s="620"/>
      <c r="Q2" s="620"/>
      <c r="R2" s="620"/>
      <c r="S2" s="620"/>
      <c r="T2" s="620"/>
      <c r="U2" s="620"/>
      <c r="V2" s="620"/>
      <c r="W2" s="620"/>
      <c r="X2" s="620"/>
      <c r="Y2" s="620"/>
      <c r="Z2" s="620"/>
      <c r="AA2" s="620"/>
      <c r="AB2" s="620"/>
      <c r="AC2" s="620"/>
    </row>
    <row r="3" spans="1:29" ht="12" customHeight="1">
      <c r="K3" s="1453" t="s">
        <v>312</v>
      </c>
      <c r="L3" s="1453"/>
      <c r="M3" s="1453"/>
      <c r="N3" s="597"/>
      <c r="O3" s="598"/>
      <c r="P3" s="598"/>
      <c r="Q3" s="598"/>
      <c r="AA3" s="1453" t="s">
        <v>312</v>
      </c>
      <c r="AB3" s="1453"/>
      <c r="AC3" s="1453"/>
    </row>
    <row r="4" spans="1:29" ht="12.75" customHeight="1">
      <c r="A4" s="1379" t="s">
        <v>840</v>
      </c>
      <c r="B4" s="1450" t="s">
        <v>1527</v>
      </c>
      <c r="C4" s="1451"/>
      <c r="D4" s="1452"/>
      <c r="E4" s="1451" t="s">
        <v>1528</v>
      </c>
      <c r="F4" s="1451"/>
      <c r="G4" s="1451"/>
      <c r="H4" s="1450" t="s">
        <v>1529</v>
      </c>
      <c r="I4" s="1451"/>
      <c r="J4" s="1452"/>
      <c r="K4" s="1451" t="s">
        <v>1530</v>
      </c>
      <c r="L4" s="1451"/>
      <c r="M4" s="1452"/>
      <c r="N4" s="1379" t="s">
        <v>840</v>
      </c>
      <c r="O4" s="1450" t="s">
        <v>1531</v>
      </c>
      <c r="P4" s="1451"/>
      <c r="Q4" s="1452"/>
      <c r="R4" s="1450" t="s">
        <v>1532</v>
      </c>
      <c r="S4" s="1451"/>
      <c r="T4" s="1452"/>
      <c r="U4" s="1451" t="s">
        <v>545</v>
      </c>
      <c r="V4" s="1451"/>
      <c r="W4" s="1451"/>
      <c r="X4" s="1450" t="s">
        <v>546</v>
      </c>
      <c r="Y4" s="1451"/>
      <c r="Z4" s="1452"/>
      <c r="AA4" s="1451" t="s">
        <v>793</v>
      </c>
      <c r="AB4" s="1451"/>
      <c r="AC4" s="1452"/>
    </row>
    <row r="5" spans="1:29">
      <c r="A5" s="1426"/>
      <c r="B5" s="964" t="s">
        <v>332</v>
      </c>
      <c r="C5" s="965" t="s">
        <v>333</v>
      </c>
      <c r="D5" s="966" t="s">
        <v>300</v>
      </c>
      <c r="E5" s="965" t="s">
        <v>332</v>
      </c>
      <c r="F5" s="965" t="s">
        <v>333</v>
      </c>
      <c r="G5" s="965" t="s">
        <v>300</v>
      </c>
      <c r="H5" s="964" t="s">
        <v>332</v>
      </c>
      <c r="I5" s="965" t="s">
        <v>333</v>
      </c>
      <c r="J5" s="966" t="s">
        <v>300</v>
      </c>
      <c r="K5" s="965" t="s">
        <v>332</v>
      </c>
      <c r="L5" s="965" t="s">
        <v>333</v>
      </c>
      <c r="M5" s="966" t="s">
        <v>300</v>
      </c>
      <c r="N5" s="1426"/>
      <c r="O5" s="964" t="s">
        <v>332</v>
      </c>
      <c r="P5" s="965" t="s">
        <v>333</v>
      </c>
      <c r="Q5" s="966" t="s">
        <v>300</v>
      </c>
      <c r="R5" s="964" t="s">
        <v>332</v>
      </c>
      <c r="S5" s="965" t="s">
        <v>333</v>
      </c>
      <c r="T5" s="966" t="s">
        <v>300</v>
      </c>
      <c r="U5" s="965" t="s">
        <v>332</v>
      </c>
      <c r="V5" s="965" t="s">
        <v>333</v>
      </c>
      <c r="W5" s="965" t="s">
        <v>300</v>
      </c>
      <c r="X5" s="964" t="s">
        <v>332</v>
      </c>
      <c r="Y5" s="965" t="s">
        <v>333</v>
      </c>
      <c r="Z5" s="966" t="s">
        <v>300</v>
      </c>
      <c r="AA5" s="965" t="s">
        <v>332</v>
      </c>
      <c r="AB5" s="965" t="s">
        <v>333</v>
      </c>
      <c r="AC5" s="966" t="s">
        <v>300</v>
      </c>
    </row>
    <row r="6" spans="1:29">
      <c r="A6" s="967" t="s">
        <v>278</v>
      </c>
      <c r="B6" s="968" t="s">
        <v>279</v>
      </c>
      <c r="C6" s="969" t="s">
        <v>280</v>
      </c>
      <c r="D6" s="970" t="s">
        <v>281</v>
      </c>
      <c r="E6" s="971" t="s">
        <v>282</v>
      </c>
      <c r="F6" s="972" t="s">
        <v>283</v>
      </c>
      <c r="G6" s="973" t="s">
        <v>284</v>
      </c>
      <c r="H6" s="968" t="s">
        <v>301</v>
      </c>
      <c r="I6" s="969" t="s">
        <v>302</v>
      </c>
      <c r="J6" s="970" t="s">
        <v>303</v>
      </c>
      <c r="K6" s="971" t="s">
        <v>304</v>
      </c>
      <c r="L6" s="972" t="s">
        <v>344</v>
      </c>
      <c r="M6" s="973" t="s">
        <v>345</v>
      </c>
      <c r="N6" s="971" t="s">
        <v>278</v>
      </c>
      <c r="O6" s="971" t="s">
        <v>346</v>
      </c>
      <c r="P6" s="972" t="s">
        <v>347</v>
      </c>
      <c r="Q6" s="973" t="s">
        <v>348</v>
      </c>
      <c r="R6" s="971" t="s">
        <v>349</v>
      </c>
      <c r="S6" s="972" t="s">
        <v>351</v>
      </c>
      <c r="T6" s="973" t="s">
        <v>350</v>
      </c>
      <c r="U6" s="972" t="s">
        <v>892</v>
      </c>
      <c r="V6" s="972" t="s">
        <v>893</v>
      </c>
      <c r="W6" s="972" t="s">
        <v>894</v>
      </c>
      <c r="X6" s="971" t="s">
        <v>1407</v>
      </c>
      <c r="Y6" s="972" t="s">
        <v>1408</v>
      </c>
      <c r="Z6" s="973" t="s">
        <v>1409</v>
      </c>
      <c r="AA6" s="972" t="s">
        <v>1410</v>
      </c>
      <c r="AB6" s="972" t="s">
        <v>1411</v>
      </c>
      <c r="AC6" s="973" t="s">
        <v>1412</v>
      </c>
    </row>
    <row r="7" spans="1:29" ht="18" customHeight="1">
      <c r="A7" s="261" t="s">
        <v>11</v>
      </c>
      <c r="B7" s="379">
        <f t="shared" ref="B7:M7" si="0">SUM(B8:B13)</f>
        <v>689763</v>
      </c>
      <c r="C7" s="615">
        <f t="shared" si="0"/>
        <v>638935</v>
      </c>
      <c r="D7" s="564">
        <f t="shared" si="0"/>
        <v>1328698</v>
      </c>
      <c r="E7" s="223">
        <f t="shared" si="0"/>
        <v>98851</v>
      </c>
      <c r="F7" s="223">
        <f t="shared" si="0"/>
        <v>92453</v>
      </c>
      <c r="G7" s="223">
        <f t="shared" si="0"/>
        <v>191304</v>
      </c>
      <c r="H7" s="379">
        <f t="shared" si="0"/>
        <v>12437</v>
      </c>
      <c r="I7" s="615">
        <f t="shared" si="0"/>
        <v>12240</v>
      </c>
      <c r="J7" s="564">
        <f t="shared" si="0"/>
        <v>24677</v>
      </c>
      <c r="K7" s="223">
        <f t="shared" si="0"/>
        <v>535</v>
      </c>
      <c r="L7" s="223">
        <f t="shared" si="0"/>
        <v>347</v>
      </c>
      <c r="M7" s="211">
        <f t="shared" si="0"/>
        <v>882</v>
      </c>
      <c r="N7" s="261" t="s">
        <v>11</v>
      </c>
      <c r="O7" s="239">
        <f t="shared" ref="O7:AC7" si="1">SUM(O8:O13)</f>
        <v>3219</v>
      </c>
      <c r="P7" s="223">
        <f t="shared" si="1"/>
        <v>3100</v>
      </c>
      <c r="Q7" s="211">
        <f t="shared" si="1"/>
        <v>6319</v>
      </c>
      <c r="R7" s="239">
        <f t="shared" si="1"/>
        <v>142</v>
      </c>
      <c r="S7" s="223">
        <f t="shared" si="1"/>
        <v>113</v>
      </c>
      <c r="T7" s="211">
        <f t="shared" si="1"/>
        <v>255</v>
      </c>
      <c r="U7" s="223">
        <f t="shared" si="1"/>
        <v>247</v>
      </c>
      <c r="V7" s="223">
        <f t="shared" si="1"/>
        <v>215</v>
      </c>
      <c r="W7" s="223">
        <f t="shared" si="1"/>
        <v>462</v>
      </c>
      <c r="X7" s="239">
        <f t="shared" si="1"/>
        <v>312</v>
      </c>
      <c r="Y7" s="223">
        <f t="shared" si="1"/>
        <v>266</v>
      </c>
      <c r="Z7" s="211">
        <f t="shared" si="1"/>
        <v>578</v>
      </c>
      <c r="AA7" s="223">
        <f t="shared" si="1"/>
        <v>805506</v>
      </c>
      <c r="AB7" s="223">
        <f t="shared" si="1"/>
        <v>747669</v>
      </c>
      <c r="AC7" s="211">
        <f t="shared" si="1"/>
        <v>1553175</v>
      </c>
    </row>
    <row r="8" spans="1:29" ht="18" customHeight="1">
      <c r="A8" s="781" t="s">
        <v>561</v>
      </c>
      <c r="B8" s="169">
        <v>115980</v>
      </c>
      <c r="C8" s="31">
        <v>106834</v>
      </c>
      <c r="D8" s="48">
        <f t="shared" ref="D8:D13" si="2">SUM(B8:C8)</f>
        <v>222814</v>
      </c>
      <c r="E8" s="31">
        <v>29431</v>
      </c>
      <c r="F8" s="31">
        <v>27849</v>
      </c>
      <c r="G8" s="31">
        <f t="shared" ref="G8:G13" si="3">SUM(E8:F8)</f>
        <v>57280</v>
      </c>
      <c r="H8" s="169">
        <v>1520</v>
      </c>
      <c r="I8" s="31">
        <v>1400</v>
      </c>
      <c r="J8" s="48">
        <f t="shared" ref="J8:J13" si="4">SUM(H8:I8)</f>
        <v>2920</v>
      </c>
      <c r="K8" s="31">
        <v>74</v>
      </c>
      <c r="L8" s="31">
        <v>27</v>
      </c>
      <c r="M8" s="48">
        <f t="shared" ref="M8:M13" si="5">SUM(K8:L8)</f>
        <v>101</v>
      </c>
      <c r="N8" s="781" t="s">
        <v>561</v>
      </c>
      <c r="O8" s="169">
        <v>386</v>
      </c>
      <c r="P8" s="31">
        <v>322</v>
      </c>
      <c r="Q8" s="48">
        <f t="shared" ref="Q8:Q13" si="6">SUM(O8:P8)</f>
        <v>708</v>
      </c>
      <c r="R8" s="169">
        <v>2</v>
      </c>
      <c r="S8" s="974" t="s">
        <v>570</v>
      </c>
      <c r="T8" s="48">
        <f t="shared" ref="T8:T13" si="7">SUM(R8:S8)</f>
        <v>2</v>
      </c>
      <c r="U8" s="31">
        <v>27</v>
      </c>
      <c r="V8" s="31">
        <v>19</v>
      </c>
      <c r="W8" s="31">
        <f t="shared" ref="W8:W13" si="8">SUM(U8:V8)</f>
        <v>46</v>
      </c>
      <c r="X8" s="169">
        <v>47</v>
      </c>
      <c r="Y8" s="31">
        <v>49</v>
      </c>
      <c r="Z8" s="48">
        <f t="shared" ref="Z8:Z13" si="9">SUM(X8:Y8)</f>
        <v>96</v>
      </c>
      <c r="AA8" s="31">
        <f t="shared" ref="AA8:AB13" si="10">SUM(B8,E8,H8,K8,O8,R8,U8,X8)</f>
        <v>147467</v>
      </c>
      <c r="AB8" s="31">
        <f t="shared" si="10"/>
        <v>136500</v>
      </c>
      <c r="AC8" s="48">
        <f t="shared" ref="AC8:AC13" si="11">SUM(AA8:AB8)</f>
        <v>283967</v>
      </c>
    </row>
    <row r="9" spans="1:29" ht="18" customHeight="1">
      <c r="A9" s="781" t="s">
        <v>1149</v>
      </c>
      <c r="B9" s="169">
        <v>122145</v>
      </c>
      <c r="C9" s="31">
        <v>113868</v>
      </c>
      <c r="D9" s="48">
        <f t="shared" si="2"/>
        <v>236013</v>
      </c>
      <c r="E9" s="31">
        <v>20936</v>
      </c>
      <c r="F9" s="31">
        <v>19583</v>
      </c>
      <c r="G9" s="31">
        <f t="shared" si="3"/>
        <v>40519</v>
      </c>
      <c r="H9" s="169">
        <v>1988</v>
      </c>
      <c r="I9" s="31">
        <v>2052</v>
      </c>
      <c r="J9" s="48">
        <f t="shared" si="4"/>
        <v>4040</v>
      </c>
      <c r="K9" s="31">
        <v>54</v>
      </c>
      <c r="L9" s="31">
        <v>19</v>
      </c>
      <c r="M9" s="48">
        <f t="shared" si="5"/>
        <v>73</v>
      </c>
      <c r="N9" s="781" t="s">
        <v>1149</v>
      </c>
      <c r="O9" s="169">
        <v>119</v>
      </c>
      <c r="P9" s="31">
        <v>104</v>
      </c>
      <c r="Q9" s="48">
        <f t="shared" si="6"/>
        <v>223</v>
      </c>
      <c r="R9" s="169">
        <v>1</v>
      </c>
      <c r="S9" s="974" t="s">
        <v>570</v>
      </c>
      <c r="T9" s="48">
        <f t="shared" si="7"/>
        <v>1</v>
      </c>
      <c r="U9" s="31">
        <v>1</v>
      </c>
      <c r="V9" s="974" t="s">
        <v>570</v>
      </c>
      <c r="W9" s="31">
        <f t="shared" si="8"/>
        <v>1</v>
      </c>
      <c r="X9" s="169">
        <v>28</v>
      </c>
      <c r="Y9" s="31">
        <v>29</v>
      </c>
      <c r="Z9" s="48">
        <f t="shared" si="9"/>
        <v>57</v>
      </c>
      <c r="AA9" s="31">
        <f t="shared" si="10"/>
        <v>145272</v>
      </c>
      <c r="AB9" s="31">
        <f t="shared" si="10"/>
        <v>135655</v>
      </c>
      <c r="AC9" s="48">
        <f t="shared" si="11"/>
        <v>280927</v>
      </c>
    </row>
    <row r="10" spans="1:29" ht="18" customHeight="1">
      <c r="A10" s="781" t="s">
        <v>562</v>
      </c>
      <c r="B10" s="169">
        <v>48735</v>
      </c>
      <c r="C10" s="31">
        <v>48033</v>
      </c>
      <c r="D10" s="48">
        <f t="shared" si="2"/>
        <v>96768</v>
      </c>
      <c r="E10" s="31">
        <v>1431</v>
      </c>
      <c r="F10" s="31">
        <v>1223</v>
      </c>
      <c r="G10" s="31">
        <f t="shared" si="3"/>
        <v>2654</v>
      </c>
      <c r="H10" s="169">
        <v>203</v>
      </c>
      <c r="I10" s="31">
        <v>210</v>
      </c>
      <c r="J10" s="48">
        <f t="shared" si="4"/>
        <v>413</v>
      </c>
      <c r="K10" s="31">
        <v>18</v>
      </c>
      <c r="L10" s="31">
        <v>13</v>
      </c>
      <c r="M10" s="48">
        <f t="shared" si="5"/>
        <v>31</v>
      </c>
      <c r="N10" s="781" t="s">
        <v>562</v>
      </c>
      <c r="O10" s="169">
        <v>192</v>
      </c>
      <c r="P10" s="31">
        <v>210</v>
      </c>
      <c r="Q10" s="48">
        <f t="shared" si="6"/>
        <v>402</v>
      </c>
      <c r="R10" s="169">
        <v>21</v>
      </c>
      <c r="S10" s="31">
        <v>17</v>
      </c>
      <c r="T10" s="48">
        <f t="shared" si="7"/>
        <v>38</v>
      </c>
      <c r="U10" s="31">
        <v>2</v>
      </c>
      <c r="V10" s="31">
        <v>1</v>
      </c>
      <c r="W10" s="31">
        <f t="shared" si="8"/>
        <v>3</v>
      </c>
      <c r="X10" s="169">
        <v>27</v>
      </c>
      <c r="Y10" s="31">
        <v>12</v>
      </c>
      <c r="Z10" s="48">
        <f t="shared" si="9"/>
        <v>39</v>
      </c>
      <c r="AA10" s="31">
        <f t="shared" si="10"/>
        <v>50629</v>
      </c>
      <c r="AB10" s="31">
        <f t="shared" si="10"/>
        <v>49719</v>
      </c>
      <c r="AC10" s="48">
        <f t="shared" si="11"/>
        <v>100348</v>
      </c>
    </row>
    <row r="11" spans="1:29" ht="18" customHeight="1">
      <c r="A11" s="781" t="s">
        <v>549</v>
      </c>
      <c r="B11" s="169">
        <v>131639</v>
      </c>
      <c r="C11" s="31">
        <v>123096</v>
      </c>
      <c r="D11" s="48">
        <f t="shared" si="2"/>
        <v>254735</v>
      </c>
      <c r="E11" s="31">
        <v>13599</v>
      </c>
      <c r="F11" s="31">
        <v>12682</v>
      </c>
      <c r="G11" s="31">
        <f t="shared" si="3"/>
        <v>26281</v>
      </c>
      <c r="H11" s="169">
        <v>27</v>
      </c>
      <c r="I11" s="31">
        <v>25</v>
      </c>
      <c r="J11" s="48">
        <f t="shared" si="4"/>
        <v>52</v>
      </c>
      <c r="K11" s="31">
        <v>14</v>
      </c>
      <c r="L11" s="31">
        <v>15</v>
      </c>
      <c r="M11" s="48">
        <f t="shared" si="5"/>
        <v>29</v>
      </c>
      <c r="N11" s="781" t="s">
        <v>549</v>
      </c>
      <c r="O11" s="169">
        <v>165</v>
      </c>
      <c r="P11" s="31">
        <v>148</v>
      </c>
      <c r="Q11" s="48">
        <f t="shared" si="6"/>
        <v>313</v>
      </c>
      <c r="R11" s="169">
        <v>35</v>
      </c>
      <c r="S11" s="31">
        <v>22</v>
      </c>
      <c r="T11" s="48">
        <f t="shared" si="7"/>
        <v>57</v>
      </c>
      <c r="U11" s="31">
        <v>25</v>
      </c>
      <c r="V11" s="31">
        <v>21</v>
      </c>
      <c r="W11" s="31">
        <f t="shared" si="8"/>
        <v>46</v>
      </c>
      <c r="X11" s="169">
        <v>99</v>
      </c>
      <c r="Y11" s="31">
        <v>88</v>
      </c>
      <c r="Z11" s="48">
        <f t="shared" si="9"/>
        <v>187</v>
      </c>
      <c r="AA11" s="31">
        <f t="shared" si="10"/>
        <v>145603</v>
      </c>
      <c r="AB11" s="31">
        <f t="shared" si="10"/>
        <v>136097</v>
      </c>
      <c r="AC11" s="48">
        <f t="shared" si="11"/>
        <v>281700</v>
      </c>
    </row>
    <row r="12" spans="1:29" ht="18" customHeight="1">
      <c r="A12" s="781" t="s">
        <v>550</v>
      </c>
      <c r="B12" s="169">
        <v>178502</v>
      </c>
      <c r="C12" s="31">
        <v>163367</v>
      </c>
      <c r="D12" s="48">
        <f t="shared" si="2"/>
        <v>341869</v>
      </c>
      <c r="E12" s="31">
        <v>28974</v>
      </c>
      <c r="F12" s="31">
        <v>27318</v>
      </c>
      <c r="G12" s="31">
        <f t="shared" si="3"/>
        <v>56292</v>
      </c>
      <c r="H12" s="169">
        <v>8162</v>
      </c>
      <c r="I12" s="31">
        <v>8022</v>
      </c>
      <c r="J12" s="48">
        <f t="shared" si="4"/>
        <v>16184</v>
      </c>
      <c r="K12" s="31">
        <v>240</v>
      </c>
      <c r="L12" s="31">
        <v>132</v>
      </c>
      <c r="M12" s="48">
        <f t="shared" si="5"/>
        <v>372</v>
      </c>
      <c r="N12" s="781" t="s">
        <v>550</v>
      </c>
      <c r="O12" s="169">
        <v>1646</v>
      </c>
      <c r="P12" s="31">
        <v>1598</v>
      </c>
      <c r="Q12" s="48">
        <f t="shared" si="6"/>
        <v>3244</v>
      </c>
      <c r="R12" s="169">
        <v>59</v>
      </c>
      <c r="S12" s="31">
        <v>51</v>
      </c>
      <c r="T12" s="48">
        <f t="shared" si="7"/>
        <v>110</v>
      </c>
      <c r="U12" s="31">
        <v>154</v>
      </c>
      <c r="V12" s="31">
        <v>143</v>
      </c>
      <c r="W12" s="31">
        <f t="shared" si="8"/>
        <v>297</v>
      </c>
      <c r="X12" s="169">
        <v>48</v>
      </c>
      <c r="Y12" s="31">
        <v>45</v>
      </c>
      <c r="Z12" s="48">
        <f t="shared" si="9"/>
        <v>93</v>
      </c>
      <c r="AA12" s="31">
        <f t="shared" si="10"/>
        <v>217785</v>
      </c>
      <c r="AB12" s="31">
        <f t="shared" si="10"/>
        <v>200676</v>
      </c>
      <c r="AC12" s="48">
        <f t="shared" si="11"/>
        <v>418461</v>
      </c>
    </row>
    <row r="13" spans="1:29" ht="18" customHeight="1">
      <c r="A13" s="781" t="s">
        <v>765</v>
      </c>
      <c r="B13" s="169">
        <v>92762</v>
      </c>
      <c r="C13" s="31">
        <v>83737</v>
      </c>
      <c r="D13" s="48">
        <f t="shared" si="2"/>
        <v>176499</v>
      </c>
      <c r="E13" s="31">
        <v>4480</v>
      </c>
      <c r="F13" s="31">
        <v>3798</v>
      </c>
      <c r="G13" s="31">
        <f t="shared" si="3"/>
        <v>8278</v>
      </c>
      <c r="H13" s="169">
        <v>537</v>
      </c>
      <c r="I13" s="31">
        <v>531</v>
      </c>
      <c r="J13" s="48">
        <f t="shared" si="4"/>
        <v>1068</v>
      </c>
      <c r="K13" s="31">
        <v>135</v>
      </c>
      <c r="L13" s="31">
        <v>141</v>
      </c>
      <c r="M13" s="48">
        <f t="shared" si="5"/>
        <v>276</v>
      </c>
      <c r="N13" s="781" t="s">
        <v>564</v>
      </c>
      <c r="O13" s="169">
        <v>711</v>
      </c>
      <c r="P13" s="31">
        <v>718</v>
      </c>
      <c r="Q13" s="48">
        <f t="shared" si="6"/>
        <v>1429</v>
      </c>
      <c r="R13" s="169">
        <v>24</v>
      </c>
      <c r="S13" s="31">
        <v>23</v>
      </c>
      <c r="T13" s="48">
        <f t="shared" si="7"/>
        <v>47</v>
      </c>
      <c r="U13" s="31">
        <v>38</v>
      </c>
      <c r="V13" s="31">
        <v>31</v>
      </c>
      <c r="W13" s="31">
        <f t="shared" si="8"/>
        <v>69</v>
      </c>
      <c r="X13" s="169">
        <v>63</v>
      </c>
      <c r="Y13" s="31">
        <v>43</v>
      </c>
      <c r="Z13" s="48">
        <f t="shared" si="9"/>
        <v>106</v>
      </c>
      <c r="AA13" s="31">
        <f t="shared" si="10"/>
        <v>98750</v>
      </c>
      <c r="AB13" s="31">
        <f t="shared" si="10"/>
        <v>89022</v>
      </c>
      <c r="AC13" s="48">
        <f t="shared" si="11"/>
        <v>187772</v>
      </c>
    </row>
    <row r="14" spans="1:29" ht="18" customHeight="1">
      <c r="A14" s="261" t="s">
        <v>15</v>
      </c>
      <c r="B14" s="239">
        <f t="shared" ref="B14:M14" si="12">SUM(B15:B18)</f>
        <v>202181</v>
      </c>
      <c r="C14" s="223">
        <f t="shared" si="12"/>
        <v>194193</v>
      </c>
      <c r="D14" s="211">
        <f t="shared" si="12"/>
        <v>396374</v>
      </c>
      <c r="E14" s="223">
        <f t="shared" si="12"/>
        <v>35585</v>
      </c>
      <c r="F14" s="223">
        <f t="shared" si="12"/>
        <v>33983</v>
      </c>
      <c r="G14" s="223">
        <f t="shared" si="12"/>
        <v>69568</v>
      </c>
      <c r="H14" s="239">
        <f t="shared" si="12"/>
        <v>16818</v>
      </c>
      <c r="I14" s="223">
        <f t="shared" si="12"/>
        <v>17144</v>
      </c>
      <c r="J14" s="211">
        <f t="shared" si="12"/>
        <v>33962</v>
      </c>
      <c r="K14" s="223">
        <f t="shared" si="12"/>
        <v>117</v>
      </c>
      <c r="L14" s="223">
        <f t="shared" si="12"/>
        <v>106</v>
      </c>
      <c r="M14" s="211">
        <f t="shared" si="12"/>
        <v>223</v>
      </c>
      <c r="N14" s="261" t="s">
        <v>15</v>
      </c>
      <c r="O14" s="239">
        <f t="shared" ref="O14:AC14" si="13">SUM(O15:O18)</f>
        <v>3897</v>
      </c>
      <c r="P14" s="223">
        <f t="shared" si="13"/>
        <v>4005</v>
      </c>
      <c r="Q14" s="211">
        <f t="shared" si="13"/>
        <v>7902</v>
      </c>
      <c r="R14" s="239">
        <f t="shared" si="13"/>
        <v>18</v>
      </c>
      <c r="S14" s="223">
        <f t="shared" si="13"/>
        <v>23</v>
      </c>
      <c r="T14" s="211">
        <f t="shared" si="13"/>
        <v>41</v>
      </c>
      <c r="U14" s="223">
        <f t="shared" si="13"/>
        <v>1013</v>
      </c>
      <c r="V14" s="223">
        <f t="shared" si="13"/>
        <v>1088</v>
      </c>
      <c r="W14" s="223">
        <f t="shared" si="13"/>
        <v>2101</v>
      </c>
      <c r="X14" s="239">
        <f t="shared" si="13"/>
        <v>128</v>
      </c>
      <c r="Y14" s="223">
        <f t="shared" si="13"/>
        <v>124</v>
      </c>
      <c r="Z14" s="211">
        <f t="shared" si="13"/>
        <v>252</v>
      </c>
      <c r="AA14" s="223">
        <f t="shared" si="13"/>
        <v>259757</v>
      </c>
      <c r="AB14" s="223">
        <f t="shared" si="13"/>
        <v>250666</v>
      </c>
      <c r="AC14" s="211">
        <f t="shared" si="13"/>
        <v>510423</v>
      </c>
    </row>
    <row r="15" spans="1:29" ht="18" customHeight="1">
      <c r="A15" s="781" t="s">
        <v>552</v>
      </c>
      <c r="B15" s="169">
        <v>99035</v>
      </c>
      <c r="C15" s="31">
        <v>94436</v>
      </c>
      <c r="D15" s="48">
        <f>SUM(B15:C15)</f>
        <v>193471</v>
      </c>
      <c r="E15" s="31">
        <v>24637</v>
      </c>
      <c r="F15" s="31">
        <v>23700</v>
      </c>
      <c r="G15" s="31">
        <f>SUM(E15:F15)</f>
        <v>48337</v>
      </c>
      <c r="H15" s="169">
        <v>9332</v>
      </c>
      <c r="I15" s="31">
        <v>9479</v>
      </c>
      <c r="J15" s="48">
        <f>SUM(H15:I15)</f>
        <v>18811</v>
      </c>
      <c r="K15" s="31">
        <v>42</v>
      </c>
      <c r="L15" s="31">
        <v>39</v>
      </c>
      <c r="M15" s="48">
        <f>SUM(K15:L15)</f>
        <v>81</v>
      </c>
      <c r="N15" s="781" t="s">
        <v>552</v>
      </c>
      <c r="O15" s="169">
        <v>1571</v>
      </c>
      <c r="P15" s="31">
        <v>1611</v>
      </c>
      <c r="Q15" s="48">
        <f>SUM(O15:P15)</f>
        <v>3182</v>
      </c>
      <c r="R15" s="169">
        <v>9</v>
      </c>
      <c r="S15" s="31">
        <v>13</v>
      </c>
      <c r="T15" s="48">
        <f>SUM(R15:S15)</f>
        <v>22</v>
      </c>
      <c r="U15" s="31">
        <v>649</v>
      </c>
      <c r="V15" s="31">
        <v>703</v>
      </c>
      <c r="W15" s="31">
        <f>SUM(U15:V15)</f>
        <v>1352</v>
      </c>
      <c r="X15" s="169">
        <v>69</v>
      </c>
      <c r="Y15" s="31">
        <v>67</v>
      </c>
      <c r="Z15" s="48">
        <f>SUM(X15:Y15)</f>
        <v>136</v>
      </c>
      <c r="AA15" s="31">
        <f t="shared" ref="AA15:AB18" si="14">SUM(B15,E15,H15,K15,O15,R15,U15,X15)</f>
        <v>135344</v>
      </c>
      <c r="AB15" s="31">
        <f t="shared" si="14"/>
        <v>130048</v>
      </c>
      <c r="AC15" s="48">
        <f>SUM(AA15:AB15)</f>
        <v>265392</v>
      </c>
    </row>
    <row r="16" spans="1:29" ht="18" customHeight="1">
      <c r="A16" s="781" t="s">
        <v>565</v>
      </c>
      <c r="B16" s="169">
        <v>10707</v>
      </c>
      <c r="C16" s="31">
        <v>9717</v>
      </c>
      <c r="D16" s="48">
        <f>SUM(B16:C16)</f>
        <v>20424</v>
      </c>
      <c r="E16" s="31">
        <v>816</v>
      </c>
      <c r="F16" s="31">
        <v>737</v>
      </c>
      <c r="G16" s="31">
        <f>SUM(E16:F16)</f>
        <v>1553</v>
      </c>
      <c r="H16" s="169">
        <v>320</v>
      </c>
      <c r="I16" s="31">
        <v>312</v>
      </c>
      <c r="J16" s="48">
        <f>SUM(H16:I16)</f>
        <v>632</v>
      </c>
      <c r="K16" s="31">
        <v>20</v>
      </c>
      <c r="L16" s="31">
        <v>25</v>
      </c>
      <c r="M16" s="48">
        <f>SUM(K16:L16)</f>
        <v>45</v>
      </c>
      <c r="N16" s="781" t="s">
        <v>565</v>
      </c>
      <c r="O16" s="169">
        <v>217</v>
      </c>
      <c r="P16" s="31">
        <v>200</v>
      </c>
      <c r="Q16" s="48">
        <f>SUM(O16:P16)</f>
        <v>417</v>
      </c>
      <c r="R16" s="169">
        <v>7</v>
      </c>
      <c r="S16" s="31">
        <v>5</v>
      </c>
      <c r="T16" s="48">
        <f>SUM(R16:S16)</f>
        <v>12</v>
      </c>
      <c r="U16" s="31">
        <v>58</v>
      </c>
      <c r="V16" s="31">
        <v>66</v>
      </c>
      <c r="W16" s="31">
        <f>SUM(U16:V16)</f>
        <v>124</v>
      </c>
      <c r="X16" s="169">
        <v>6</v>
      </c>
      <c r="Y16" s="31">
        <v>5</v>
      </c>
      <c r="Z16" s="48">
        <f>SUM(X16:Y16)</f>
        <v>11</v>
      </c>
      <c r="AA16" s="31">
        <f t="shared" si="14"/>
        <v>12151</v>
      </c>
      <c r="AB16" s="31">
        <f t="shared" si="14"/>
        <v>11067</v>
      </c>
      <c r="AC16" s="48">
        <f>SUM(AA16:AB16)</f>
        <v>23218</v>
      </c>
    </row>
    <row r="17" spans="1:29" ht="18" customHeight="1">
      <c r="A17" s="781" t="s">
        <v>553</v>
      </c>
      <c r="B17" s="169">
        <v>43236</v>
      </c>
      <c r="C17" s="31">
        <v>42415</v>
      </c>
      <c r="D17" s="48">
        <f>SUM(B17:C17)</f>
        <v>85651</v>
      </c>
      <c r="E17" s="31">
        <v>5564</v>
      </c>
      <c r="F17" s="31">
        <v>5233</v>
      </c>
      <c r="G17" s="31">
        <f>SUM(E17:F17)</f>
        <v>10797</v>
      </c>
      <c r="H17" s="169">
        <v>3761</v>
      </c>
      <c r="I17" s="31">
        <v>3814</v>
      </c>
      <c r="J17" s="48">
        <f>SUM(H17:I17)</f>
        <v>7575</v>
      </c>
      <c r="K17" s="31">
        <v>21</v>
      </c>
      <c r="L17" s="31">
        <v>21</v>
      </c>
      <c r="M17" s="48">
        <f>SUM(K17:L17)</f>
        <v>42</v>
      </c>
      <c r="N17" s="781" t="s">
        <v>553</v>
      </c>
      <c r="O17" s="169">
        <v>840</v>
      </c>
      <c r="P17" s="31">
        <v>896</v>
      </c>
      <c r="Q17" s="48">
        <f>SUM(O17:P17)</f>
        <v>1736</v>
      </c>
      <c r="R17" s="480" t="s">
        <v>570</v>
      </c>
      <c r="S17" s="31">
        <v>1</v>
      </c>
      <c r="T17" s="48">
        <f>SUM(R17:S17)</f>
        <v>1</v>
      </c>
      <c r="U17" s="31">
        <v>33</v>
      </c>
      <c r="V17" s="31">
        <v>40</v>
      </c>
      <c r="W17" s="31">
        <f>SUM(U17:V17)</f>
        <v>73</v>
      </c>
      <c r="X17" s="169">
        <v>17</v>
      </c>
      <c r="Y17" s="31">
        <v>14</v>
      </c>
      <c r="Z17" s="48">
        <f>SUM(X17:Y17)</f>
        <v>31</v>
      </c>
      <c r="AA17" s="31">
        <f t="shared" si="14"/>
        <v>53472</v>
      </c>
      <c r="AB17" s="31">
        <f t="shared" si="14"/>
        <v>52434</v>
      </c>
      <c r="AC17" s="48">
        <f>SUM(AA17:AB17)</f>
        <v>105906</v>
      </c>
    </row>
    <row r="18" spans="1:29" ht="18" customHeight="1">
      <c r="A18" s="781" t="s">
        <v>554</v>
      </c>
      <c r="B18" s="169">
        <v>49203</v>
      </c>
      <c r="C18" s="31">
        <v>47625</v>
      </c>
      <c r="D18" s="48">
        <f>SUM(B18:C18)</f>
        <v>96828</v>
      </c>
      <c r="E18" s="31">
        <v>4568</v>
      </c>
      <c r="F18" s="31">
        <v>4313</v>
      </c>
      <c r="G18" s="31">
        <f>SUM(E18:F18)</f>
        <v>8881</v>
      </c>
      <c r="H18" s="169">
        <v>3405</v>
      </c>
      <c r="I18" s="31">
        <v>3539</v>
      </c>
      <c r="J18" s="48">
        <f>SUM(H18:I18)</f>
        <v>6944</v>
      </c>
      <c r="K18" s="31">
        <v>34</v>
      </c>
      <c r="L18" s="31">
        <v>21</v>
      </c>
      <c r="M18" s="48">
        <f>SUM(K18:L18)</f>
        <v>55</v>
      </c>
      <c r="N18" s="781" t="s">
        <v>554</v>
      </c>
      <c r="O18" s="169">
        <v>1269</v>
      </c>
      <c r="P18" s="31">
        <v>1298</v>
      </c>
      <c r="Q18" s="48">
        <f>SUM(O18:P18)</f>
        <v>2567</v>
      </c>
      <c r="R18" s="169">
        <v>2</v>
      </c>
      <c r="S18" s="31">
        <v>4</v>
      </c>
      <c r="T18" s="48">
        <f>SUM(R18:S18)</f>
        <v>6</v>
      </c>
      <c r="U18" s="31">
        <v>273</v>
      </c>
      <c r="V18" s="31">
        <v>279</v>
      </c>
      <c r="W18" s="31">
        <f>SUM(U18:V18)</f>
        <v>552</v>
      </c>
      <c r="X18" s="169">
        <v>36</v>
      </c>
      <c r="Y18" s="31">
        <v>38</v>
      </c>
      <c r="Z18" s="48">
        <f>SUM(X18:Y18)</f>
        <v>74</v>
      </c>
      <c r="AA18" s="31">
        <f t="shared" si="14"/>
        <v>58790</v>
      </c>
      <c r="AB18" s="31">
        <f t="shared" si="14"/>
        <v>57117</v>
      </c>
      <c r="AC18" s="48">
        <f>SUM(AA18:AB18)</f>
        <v>115907</v>
      </c>
    </row>
    <row r="19" spans="1:29" ht="18" customHeight="1">
      <c r="A19" s="261" t="s">
        <v>337</v>
      </c>
      <c r="B19" s="239">
        <f t="shared" ref="B19:M19" si="15">SUM(B20:B26)</f>
        <v>569411</v>
      </c>
      <c r="C19" s="223">
        <f t="shared" si="15"/>
        <v>538746</v>
      </c>
      <c r="D19" s="211">
        <f t="shared" si="15"/>
        <v>1108157</v>
      </c>
      <c r="E19" s="223">
        <f t="shared" si="15"/>
        <v>55786</v>
      </c>
      <c r="F19" s="223">
        <f t="shared" si="15"/>
        <v>52537</v>
      </c>
      <c r="G19" s="223">
        <f t="shared" si="15"/>
        <v>108323</v>
      </c>
      <c r="H19" s="239">
        <f t="shared" si="15"/>
        <v>44491</v>
      </c>
      <c r="I19" s="223">
        <f t="shared" si="15"/>
        <v>44524</v>
      </c>
      <c r="J19" s="211">
        <f t="shared" si="15"/>
        <v>89015</v>
      </c>
      <c r="K19" s="223">
        <f t="shared" si="15"/>
        <v>317</v>
      </c>
      <c r="L19" s="223">
        <f t="shared" si="15"/>
        <v>234</v>
      </c>
      <c r="M19" s="211">
        <f t="shared" si="15"/>
        <v>551</v>
      </c>
      <c r="N19" s="261" t="s">
        <v>337</v>
      </c>
      <c r="O19" s="239">
        <f t="shared" ref="O19:AC19" si="16">SUM(O20:O26)</f>
        <v>14834</v>
      </c>
      <c r="P19" s="223">
        <f t="shared" si="16"/>
        <v>14679</v>
      </c>
      <c r="Q19" s="211">
        <f t="shared" si="16"/>
        <v>29513</v>
      </c>
      <c r="R19" s="239">
        <f t="shared" si="16"/>
        <v>352</v>
      </c>
      <c r="S19" s="223">
        <f t="shared" si="16"/>
        <v>328</v>
      </c>
      <c r="T19" s="211">
        <f t="shared" si="16"/>
        <v>680</v>
      </c>
      <c r="U19" s="223">
        <f t="shared" si="16"/>
        <v>465</v>
      </c>
      <c r="V19" s="223">
        <f t="shared" si="16"/>
        <v>455</v>
      </c>
      <c r="W19" s="223">
        <f t="shared" si="16"/>
        <v>920</v>
      </c>
      <c r="X19" s="239">
        <f t="shared" si="16"/>
        <v>226</v>
      </c>
      <c r="Y19" s="223">
        <f t="shared" si="16"/>
        <v>190</v>
      </c>
      <c r="Z19" s="211">
        <f t="shared" si="16"/>
        <v>416</v>
      </c>
      <c r="AA19" s="223">
        <f t="shared" si="16"/>
        <v>685882</v>
      </c>
      <c r="AB19" s="223">
        <f t="shared" si="16"/>
        <v>651693</v>
      </c>
      <c r="AC19" s="211">
        <f t="shared" si="16"/>
        <v>1337575</v>
      </c>
    </row>
    <row r="20" spans="1:29" ht="18" customHeight="1">
      <c r="A20" s="781" t="s">
        <v>555</v>
      </c>
      <c r="B20" s="169">
        <v>77323</v>
      </c>
      <c r="C20" s="31">
        <v>72643</v>
      </c>
      <c r="D20" s="48">
        <f t="shared" ref="D20:D26" si="17">SUM(B20:C20)</f>
        <v>149966</v>
      </c>
      <c r="E20" s="31">
        <v>3773</v>
      </c>
      <c r="F20" s="31">
        <v>3681</v>
      </c>
      <c r="G20" s="31">
        <f t="shared" ref="G20:G26" si="18">SUM(E20:F20)</f>
        <v>7454</v>
      </c>
      <c r="H20" s="169">
        <v>9634</v>
      </c>
      <c r="I20" s="31">
        <v>9517</v>
      </c>
      <c r="J20" s="48">
        <f t="shared" ref="J20:J26" si="19">SUM(H20:I20)</f>
        <v>19151</v>
      </c>
      <c r="K20" s="31">
        <v>25</v>
      </c>
      <c r="L20" s="31">
        <v>17</v>
      </c>
      <c r="M20" s="48">
        <f t="shared" ref="M20:M26" si="20">SUM(K20:L20)</f>
        <v>42</v>
      </c>
      <c r="N20" s="781" t="s">
        <v>555</v>
      </c>
      <c r="O20" s="169">
        <v>651</v>
      </c>
      <c r="P20" s="31">
        <v>687</v>
      </c>
      <c r="Q20" s="48">
        <f t="shared" ref="Q20:Q26" si="21">SUM(O20:P20)</f>
        <v>1338</v>
      </c>
      <c r="R20" s="169">
        <v>4</v>
      </c>
      <c r="S20" s="31">
        <v>6</v>
      </c>
      <c r="T20" s="48">
        <f t="shared" ref="T20:T26" si="22">SUM(R20:S20)</f>
        <v>10</v>
      </c>
      <c r="U20" s="31">
        <v>16</v>
      </c>
      <c r="V20" s="31">
        <v>7</v>
      </c>
      <c r="W20" s="31">
        <f t="shared" ref="W20:W26" si="23">SUM(U20:V20)</f>
        <v>23</v>
      </c>
      <c r="X20" s="169">
        <v>32</v>
      </c>
      <c r="Y20" s="31">
        <v>31</v>
      </c>
      <c r="Z20" s="48">
        <f t="shared" ref="Z20:Z26" si="24">SUM(X20:Y20)</f>
        <v>63</v>
      </c>
      <c r="AA20" s="31">
        <f t="shared" ref="AA20:AB26" si="25">SUM(B20,E20,H20,K20,O20,R20,U20,X20)</f>
        <v>91458</v>
      </c>
      <c r="AB20" s="31">
        <f t="shared" si="25"/>
        <v>86589</v>
      </c>
      <c r="AC20" s="48">
        <f t="shared" ref="AC20:AC26" si="26">SUM(AA20:AB20)</f>
        <v>178047</v>
      </c>
    </row>
    <row r="21" spans="1:29" ht="18" customHeight="1">
      <c r="A21" s="781" t="s">
        <v>557</v>
      </c>
      <c r="B21" s="169">
        <v>109300</v>
      </c>
      <c r="C21" s="31">
        <v>102403</v>
      </c>
      <c r="D21" s="48">
        <f t="shared" si="17"/>
        <v>211703</v>
      </c>
      <c r="E21" s="31">
        <v>19558</v>
      </c>
      <c r="F21" s="31">
        <v>18567</v>
      </c>
      <c r="G21" s="31">
        <f t="shared" si="18"/>
        <v>38125</v>
      </c>
      <c r="H21" s="169">
        <v>2028</v>
      </c>
      <c r="I21" s="31">
        <v>1989</v>
      </c>
      <c r="J21" s="48">
        <f t="shared" si="19"/>
        <v>4017</v>
      </c>
      <c r="K21" s="31">
        <v>15</v>
      </c>
      <c r="L21" s="31">
        <v>10</v>
      </c>
      <c r="M21" s="48">
        <f t="shared" si="20"/>
        <v>25</v>
      </c>
      <c r="N21" s="781" t="s">
        <v>557</v>
      </c>
      <c r="O21" s="169">
        <v>82</v>
      </c>
      <c r="P21" s="31">
        <v>74</v>
      </c>
      <c r="Q21" s="48">
        <f t="shared" si="21"/>
        <v>156</v>
      </c>
      <c r="R21" s="169">
        <v>82</v>
      </c>
      <c r="S21" s="31">
        <v>66</v>
      </c>
      <c r="T21" s="48">
        <f t="shared" si="22"/>
        <v>148</v>
      </c>
      <c r="U21" s="31">
        <v>16</v>
      </c>
      <c r="V21" s="31">
        <v>13</v>
      </c>
      <c r="W21" s="31">
        <f t="shared" si="23"/>
        <v>29</v>
      </c>
      <c r="X21" s="169">
        <v>33</v>
      </c>
      <c r="Y21" s="31">
        <v>37</v>
      </c>
      <c r="Z21" s="48">
        <f t="shared" si="24"/>
        <v>70</v>
      </c>
      <c r="AA21" s="31">
        <f t="shared" si="25"/>
        <v>131114</v>
      </c>
      <c r="AB21" s="31">
        <f t="shared" si="25"/>
        <v>123159</v>
      </c>
      <c r="AC21" s="48">
        <f t="shared" si="26"/>
        <v>254273</v>
      </c>
    </row>
    <row r="22" spans="1:29" ht="18" customHeight="1">
      <c r="A22" s="781" t="s">
        <v>560</v>
      </c>
      <c r="B22" s="169">
        <v>73463</v>
      </c>
      <c r="C22" s="31">
        <v>71068</v>
      </c>
      <c r="D22" s="48">
        <f t="shared" si="17"/>
        <v>144531</v>
      </c>
      <c r="E22" s="31">
        <v>9653</v>
      </c>
      <c r="F22" s="31">
        <v>8880</v>
      </c>
      <c r="G22" s="31">
        <f t="shared" si="18"/>
        <v>18533</v>
      </c>
      <c r="H22" s="169">
        <v>5964</v>
      </c>
      <c r="I22" s="31">
        <v>6020</v>
      </c>
      <c r="J22" s="48">
        <f t="shared" si="19"/>
        <v>11984</v>
      </c>
      <c r="K22" s="31">
        <v>85</v>
      </c>
      <c r="L22" s="31">
        <v>60</v>
      </c>
      <c r="M22" s="48">
        <f t="shared" si="20"/>
        <v>145</v>
      </c>
      <c r="N22" s="781" t="s">
        <v>560</v>
      </c>
      <c r="O22" s="169">
        <v>5016</v>
      </c>
      <c r="P22" s="31">
        <v>5052</v>
      </c>
      <c r="Q22" s="48">
        <f t="shared" si="21"/>
        <v>10068</v>
      </c>
      <c r="R22" s="169">
        <v>9</v>
      </c>
      <c r="S22" s="31">
        <v>11</v>
      </c>
      <c r="T22" s="48">
        <f t="shared" si="22"/>
        <v>20</v>
      </c>
      <c r="U22" s="31">
        <v>75</v>
      </c>
      <c r="V22" s="31">
        <v>91</v>
      </c>
      <c r="W22" s="31">
        <f t="shared" si="23"/>
        <v>166</v>
      </c>
      <c r="X22" s="169">
        <v>13</v>
      </c>
      <c r="Y22" s="31">
        <v>10</v>
      </c>
      <c r="Z22" s="48">
        <f t="shared" si="24"/>
        <v>23</v>
      </c>
      <c r="AA22" s="31">
        <f t="shared" si="25"/>
        <v>94278</v>
      </c>
      <c r="AB22" s="31">
        <f t="shared" si="25"/>
        <v>91192</v>
      </c>
      <c r="AC22" s="48">
        <f t="shared" si="26"/>
        <v>185470</v>
      </c>
    </row>
    <row r="23" spans="1:29" ht="18" customHeight="1">
      <c r="A23" s="781" t="s">
        <v>566</v>
      </c>
      <c r="B23" s="169">
        <v>92887</v>
      </c>
      <c r="C23" s="31">
        <v>88819</v>
      </c>
      <c r="D23" s="48">
        <f t="shared" si="17"/>
        <v>181706</v>
      </c>
      <c r="E23" s="31">
        <v>10106</v>
      </c>
      <c r="F23" s="31">
        <v>9588</v>
      </c>
      <c r="G23" s="31">
        <f t="shared" si="18"/>
        <v>19694</v>
      </c>
      <c r="H23" s="169">
        <v>16425</v>
      </c>
      <c r="I23" s="31">
        <v>16604</v>
      </c>
      <c r="J23" s="48">
        <f t="shared" si="19"/>
        <v>33029</v>
      </c>
      <c r="K23" s="31">
        <v>144</v>
      </c>
      <c r="L23" s="31">
        <v>106</v>
      </c>
      <c r="M23" s="48">
        <f t="shared" si="20"/>
        <v>250</v>
      </c>
      <c r="N23" s="781" t="s">
        <v>566</v>
      </c>
      <c r="O23" s="169">
        <v>8705</v>
      </c>
      <c r="P23" s="31">
        <v>8513</v>
      </c>
      <c r="Q23" s="48">
        <f t="shared" si="21"/>
        <v>17218</v>
      </c>
      <c r="R23" s="169">
        <v>37</v>
      </c>
      <c r="S23" s="31">
        <v>28</v>
      </c>
      <c r="T23" s="48">
        <f t="shared" si="22"/>
        <v>65</v>
      </c>
      <c r="U23" s="31">
        <v>249</v>
      </c>
      <c r="V23" s="31">
        <v>241</v>
      </c>
      <c r="W23" s="31">
        <f t="shared" si="23"/>
        <v>490</v>
      </c>
      <c r="X23" s="169">
        <v>69</v>
      </c>
      <c r="Y23" s="31">
        <v>50</v>
      </c>
      <c r="Z23" s="48">
        <f t="shared" si="24"/>
        <v>119</v>
      </c>
      <c r="AA23" s="31">
        <f t="shared" si="25"/>
        <v>128622</v>
      </c>
      <c r="AB23" s="31">
        <f t="shared" si="25"/>
        <v>123949</v>
      </c>
      <c r="AC23" s="48">
        <f t="shared" si="26"/>
        <v>252571</v>
      </c>
    </row>
    <row r="24" spans="1:29" ht="18" customHeight="1">
      <c r="A24" s="781" t="s">
        <v>567</v>
      </c>
      <c r="B24" s="169">
        <v>93222</v>
      </c>
      <c r="C24" s="31">
        <v>87783</v>
      </c>
      <c r="D24" s="48">
        <f t="shared" si="17"/>
        <v>181005</v>
      </c>
      <c r="E24" s="31">
        <v>5629</v>
      </c>
      <c r="F24" s="31">
        <v>5315</v>
      </c>
      <c r="G24" s="31">
        <f t="shared" si="18"/>
        <v>10944</v>
      </c>
      <c r="H24" s="169">
        <v>2221</v>
      </c>
      <c r="I24" s="31">
        <v>2088</v>
      </c>
      <c r="J24" s="48">
        <f t="shared" si="19"/>
        <v>4309</v>
      </c>
      <c r="K24" s="31">
        <v>27</v>
      </c>
      <c r="L24" s="31">
        <v>25</v>
      </c>
      <c r="M24" s="48">
        <f t="shared" si="20"/>
        <v>52</v>
      </c>
      <c r="N24" s="781" t="s">
        <v>567</v>
      </c>
      <c r="O24" s="169">
        <v>228</v>
      </c>
      <c r="P24" s="31">
        <v>213</v>
      </c>
      <c r="Q24" s="48">
        <f t="shared" si="21"/>
        <v>441</v>
      </c>
      <c r="R24" s="169">
        <v>99</v>
      </c>
      <c r="S24" s="31">
        <v>101</v>
      </c>
      <c r="T24" s="48">
        <f t="shared" si="22"/>
        <v>200</v>
      </c>
      <c r="U24" s="31">
        <v>95</v>
      </c>
      <c r="V24" s="31">
        <v>89</v>
      </c>
      <c r="W24" s="31">
        <f t="shared" si="23"/>
        <v>184</v>
      </c>
      <c r="X24" s="169">
        <v>48</v>
      </c>
      <c r="Y24" s="31">
        <v>48</v>
      </c>
      <c r="Z24" s="48">
        <f t="shared" si="24"/>
        <v>96</v>
      </c>
      <c r="AA24" s="31">
        <f t="shared" si="25"/>
        <v>101569</v>
      </c>
      <c r="AB24" s="31">
        <f t="shared" si="25"/>
        <v>95662</v>
      </c>
      <c r="AC24" s="48">
        <f t="shared" si="26"/>
        <v>197231</v>
      </c>
    </row>
    <row r="25" spans="1:29" ht="18" customHeight="1">
      <c r="A25" s="781" t="s">
        <v>568</v>
      </c>
      <c r="B25" s="169">
        <v>36415</v>
      </c>
      <c r="C25" s="31">
        <v>34925</v>
      </c>
      <c r="D25" s="48">
        <f t="shared" si="17"/>
        <v>71340</v>
      </c>
      <c r="E25" s="31">
        <v>639</v>
      </c>
      <c r="F25" s="31">
        <v>536</v>
      </c>
      <c r="G25" s="31">
        <f t="shared" si="18"/>
        <v>1175</v>
      </c>
      <c r="H25" s="169">
        <v>102</v>
      </c>
      <c r="I25" s="31">
        <v>105</v>
      </c>
      <c r="J25" s="48">
        <f t="shared" si="19"/>
        <v>207</v>
      </c>
      <c r="K25" s="31">
        <v>15</v>
      </c>
      <c r="L25" s="31">
        <v>13</v>
      </c>
      <c r="M25" s="48">
        <f t="shared" si="20"/>
        <v>28</v>
      </c>
      <c r="N25" s="781" t="s">
        <v>568</v>
      </c>
      <c r="O25" s="169">
        <v>33</v>
      </c>
      <c r="P25" s="31">
        <v>29</v>
      </c>
      <c r="Q25" s="48">
        <f t="shared" si="21"/>
        <v>62</v>
      </c>
      <c r="R25" s="169">
        <v>82</v>
      </c>
      <c r="S25" s="31">
        <v>81</v>
      </c>
      <c r="T25" s="48">
        <f t="shared" si="22"/>
        <v>163</v>
      </c>
      <c r="U25" s="974" t="s">
        <v>570</v>
      </c>
      <c r="V25" s="31">
        <v>3</v>
      </c>
      <c r="W25" s="31">
        <f t="shared" si="23"/>
        <v>3</v>
      </c>
      <c r="X25" s="169">
        <v>17</v>
      </c>
      <c r="Y25" s="31">
        <v>4</v>
      </c>
      <c r="Z25" s="48">
        <f t="shared" si="24"/>
        <v>21</v>
      </c>
      <c r="AA25" s="31">
        <f t="shared" si="25"/>
        <v>37303</v>
      </c>
      <c r="AB25" s="31">
        <f t="shared" si="25"/>
        <v>35696</v>
      </c>
      <c r="AC25" s="48">
        <f t="shared" si="26"/>
        <v>72999</v>
      </c>
    </row>
    <row r="26" spans="1:29" ht="18" customHeight="1">
      <c r="A26" s="781" t="s">
        <v>569</v>
      </c>
      <c r="B26" s="169">
        <v>86801</v>
      </c>
      <c r="C26" s="31">
        <v>81105</v>
      </c>
      <c r="D26" s="48">
        <f t="shared" si="17"/>
        <v>167906</v>
      </c>
      <c r="E26" s="31">
        <v>6428</v>
      </c>
      <c r="F26" s="31">
        <v>5970</v>
      </c>
      <c r="G26" s="31">
        <f t="shared" si="18"/>
        <v>12398</v>
      </c>
      <c r="H26" s="169">
        <v>8117</v>
      </c>
      <c r="I26" s="31">
        <v>8201</v>
      </c>
      <c r="J26" s="48">
        <f t="shared" si="19"/>
        <v>16318</v>
      </c>
      <c r="K26" s="31">
        <v>6</v>
      </c>
      <c r="L26" s="31">
        <v>3</v>
      </c>
      <c r="M26" s="48">
        <f t="shared" si="20"/>
        <v>9</v>
      </c>
      <c r="N26" s="781" t="s">
        <v>569</v>
      </c>
      <c r="O26" s="169">
        <v>119</v>
      </c>
      <c r="P26" s="31">
        <v>111</v>
      </c>
      <c r="Q26" s="48">
        <f t="shared" si="21"/>
        <v>230</v>
      </c>
      <c r="R26" s="169">
        <v>39</v>
      </c>
      <c r="S26" s="31">
        <v>35</v>
      </c>
      <c r="T26" s="48">
        <f t="shared" si="22"/>
        <v>74</v>
      </c>
      <c r="U26" s="31">
        <v>14</v>
      </c>
      <c r="V26" s="31">
        <v>11</v>
      </c>
      <c r="W26" s="31">
        <f t="shared" si="23"/>
        <v>25</v>
      </c>
      <c r="X26" s="169">
        <v>14</v>
      </c>
      <c r="Y26" s="31">
        <v>10</v>
      </c>
      <c r="Z26" s="48">
        <f t="shared" si="24"/>
        <v>24</v>
      </c>
      <c r="AA26" s="31">
        <f t="shared" si="25"/>
        <v>101538</v>
      </c>
      <c r="AB26" s="31">
        <f t="shared" si="25"/>
        <v>95446</v>
      </c>
      <c r="AC26" s="48">
        <f t="shared" si="26"/>
        <v>196984</v>
      </c>
    </row>
    <row r="27" spans="1:29" ht="18" customHeight="1">
      <c r="A27" s="599" t="s">
        <v>300</v>
      </c>
      <c r="B27" s="621">
        <f t="shared" ref="B27:M27" si="27">SUM(B19,B14,B7)</f>
        <v>1461355</v>
      </c>
      <c r="C27" s="622">
        <f t="shared" si="27"/>
        <v>1371874</v>
      </c>
      <c r="D27" s="623">
        <f t="shared" si="27"/>
        <v>2833229</v>
      </c>
      <c r="E27" s="622">
        <f t="shared" si="27"/>
        <v>190222</v>
      </c>
      <c r="F27" s="622">
        <f t="shared" si="27"/>
        <v>178973</v>
      </c>
      <c r="G27" s="623">
        <f t="shared" si="27"/>
        <v>369195</v>
      </c>
      <c r="H27" s="622">
        <f t="shared" si="27"/>
        <v>73746</v>
      </c>
      <c r="I27" s="622">
        <f t="shared" si="27"/>
        <v>73908</v>
      </c>
      <c r="J27" s="623">
        <f t="shared" si="27"/>
        <v>147654</v>
      </c>
      <c r="K27" s="622">
        <f t="shared" si="27"/>
        <v>969</v>
      </c>
      <c r="L27" s="622">
        <f t="shared" si="27"/>
        <v>687</v>
      </c>
      <c r="M27" s="623">
        <f t="shared" si="27"/>
        <v>1656</v>
      </c>
      <c r="N27" s="599" t="s">
        <v>300</v>
      </c>
      <c r="O27" s="621">
        <f t="shared" ref="O27:AC27" si="28">SUM(O19,O14,O7)</f>
        <v>21950</v>
      </c>
      <c r="P27" s="622">
        <f t="shared" si="28"/>
        <v>21784</v>
      </c>
      <c r="Q27" s="623">
        <f t="shared" si="28"/>
        <v>43734</v>
      </c>
      <c r="R27" s="621">
        <f t="shared" si="28"/>
        <v>512</v>
      </c>
      <c r="S27" s="622">
        <f t="shared" si="28"/>
        <v>464</v>
      </c>
      <c r="T27" s="623">
        <f t="shared" si="28"/>
        <v>976</v>
      </c>
      <c r="U27" s="622">
        <f t="shared" si="28"/>
        <v>1725</v>
      </c>
      <c r="V27" s="622">
        <f t="shared" si="28"/>
        <v>1758</v>
      </c>
      <c r="W27" s="622">
        <f t="shared" si="28"/>
        <v>3483</v>
      </c>
      <c r="X27" s="621">
        <f t="shared" si="28"/>
        <v>666</v>
      </c>
      <c r="Y27" s="622">
        <f t="shared" si="28"/>
        <v>580</v>
      </c>
      <c r="Z27" s="623">
        <f t="shared" si="28"/>
        <v>1246</v>
      </c>
      <c r="AA27" s="622">
        <f t="shared" si="28"/>
        <v>1751145</v>
      </c>
      <c r="AB27" s="622">
        <f t="shared" si="28"/>
        <v>1650028</v>
      </c>
      <c r="AC27" s="623">
        <f t="shared" si="28"/>
        <v>3401173</v>
      </c>
    </row>
    <row r="28" spans="1:29">
      <c r="M28" s="869" t="s">
        <v>1011</v>
      </c>
      <c r="AC28" s="891" t="s">
        <v>571</v>
      </c>
    </row>
    <row r="29" spans="1:29">
      <c r="A29" s="17"/>
      <c r="F29" s="7"/>
      <c r="G29" s="600"/>
      <c r="H29" s="600"/>
      <c r="I29" s="600"/>
      <c r="J29" s="600"/>
    </row>
  </sheetData>
  <mergeCells count="16">
    <mergeCell ref="N1:AC1"/>
    <mergeCell ref="A1:M1"/>
    <mergeCell ref="A2:M2"/>
    <mergeCell ref="A4:A5"/>
    <mergeCell ref="B4:D4"/>
    <mergeCell ref="E4:G4"/>
    <mergeCell ref="H4:J4"/>
    <mergeCell ref="K4:M4"/>
    <mergeCell ref="O4:Q4"/>
    <mergeCell ref="N4:N5"/>
    <mergeCell ref="K3:M3"/>
    <mergeCell ref="AA3:AC3"/>
    <mergeCell ref="R4:T4"/>
    <mergeCell ref="U4:W4"/>
    <mergeCell ref="X4:Z4"/>
    <mergeCell ref="AA4:AC4"/>
  </mergeCells>
  <phoneticPr fontId="0" type="noConversion"/>
  <printOptions horizontalCentered="1"/>
  <pageMargins left="0.1" right="0.1" top="0.93" bottom="0.5" header="0.61" footer="0.5"/>
  <pageSetup paperSize="9" orientation="landscape" blackAndWhite="1" r:id="rId1"/>
  <headerFooter alignWithMargins="0"/>
  <colBreaks count="1" manualBreakCount="1">
    <brk id="13" max="1048575" man="1"/>
  </colBreaks>
</worksheet>
</file>

<file path=xl/worksheets/sheet2.xml><?xml version="1.0" encoding="utf-8"?>
<worksheet xmlns="http://schemas.openxmlformats.org/spreadsheetml/2006/main" xmlns:r="http://schemas.openxmlformats.org/officeDocument/2006/relationships">
  <sheetPr codeName="Sheet8"/>
  <dimension ref="A14:K38"/>
  <sheetViews>
    <sheetView showGridLines="0" workbookViewId="0">
      <selection activeCell="K40" sqref="K40"/>
    </sheetView>
  </sheetViews>
  <sheetFormatPr defaultRowHeight="12.75"/>
  <sheetData>
    <row r="14" spans="1:9" ht="35.25">
      <c r="A14" s="1271" t="s">
        <v>261</v>
      </c>
      <c r="B14" s="1271"/>
      <c r="C14" s="1271"/>
      <c r="D14" s="1271"/>
      <c r="E14" s="1271"/>
      <c r="F14" s="1271"/>
      <c r="G14" s="1271"/>
      <c r="H14" s="1271"/>
      <c r="I14" s="1271"/>
    </row>
    <row r="18" spans="1:11" ht="35.25">
      <c r="A18" s="1272">
        <f>District!C4</f>
        <v>2014</v>
      </c>
      <c r="B18" s="1272"/>
      <c r="C18" s="1272"/>
      <c r="D18" s="1272"/>
      <c r="E18" s="1272"/>
      <c r="F18" s="1272"/>
      <c r="G18" s="1272"/>
      <c r="H18" s="1272"/>
      <c r="I18" s="1272"/>
    </row>
    <row r="20" spans="1:11" ht="23.25">
      <c r="I20" s="99"/>
      <c r="J20" s="99"/>
      <c r="K20" s="99"/>
    </row>
    <row r="21" spans="1:11" ht="45">
      <c r="A21" s="1273" t="str">
        <f>District!A1</f>
        <v>Jalpaiguri</v>
      </c>
      <c r="B21" s="1273"/>
      <c r="C21" s="1273"/>
      <c r="D21" s="1273"/>
      <c r="E21" s="1273"/>
      <c r="F21" s="1273"/>
      <c r="G21" s="1273"/>
      <c r="H21" s="1273"/>
      <c r="I21" s="1273"/>
      <c r="J21" s="100"/>
      <c r="K21" s="100"/>
    </row>
    <row r="36" spans="1:9" ht="20.25">
      <c r="A36" s="1268" t="s">
        <v>8</v>
      </c>
      <c r="B36" s="1268"/>
      <c r="C36" s="1268"/>
      <c r="D36" s="1268"/>
      <c r="E36" s="1268"/>
      <c r="F36" s="1268"/>
      <c r="G36" s="1268"/>
      <c r="H36" s="1268"/>
      <c r="I36" s="1268"/>
    </row>
    <row r="37" spans="1:9" ht="22.5">
      <c r="A37" s="1270" t="s">
        <v>755</v>
      </c>
      <c r="B37" s="1270"/>
      <c r="C37" s="1270"/>
      <c r="D37" s="1270"/>
      <c r="E37" s="1270"/>
      <c r="F37" s="1270"/>
      <c r="G37" s="1270"/>
      <c r="H37" s="1270"/>
      <c r="I37" s="1270"/>
    </row>
    <row r="38" spans="1:9" ht="23.25">
      <c r="A38" s="1269" t="s">
        <v>9</v>
      </c>
      <c r="B38" s="1269"/>
      <c r="C38" s="1269"/>
      <c r="D38" s="1269"/>
      <c r="E38" s="1269"/>
      <c r="F38" s="1269"/>
      <c r="G38" s="1269"/>
      <c r="H38" s="1269"/>
      <c r="I38" s="1269"/>
    </row>
  </sheetData>
  <mergeCells count="6">
    <mergeCell ref="A38:I38"/>
    <mergeCell ref="A37:I37"/>
    <mergeCell ref="A14:I14"/>
    <mergeCell ref="A18:I18"/>
    <mergeCell ref="A21:I21"/>
    <mergeCell ref="A36:I36"/>
  </mergeCells>
  <phoneticPr fontId="0" type="noConversion"/>
  <printOptions horizontalCentered="1"/>
  <pageMargins left="0.1" right="0.1" top="1" bottom="1" header="0.5" footer="0.5"/>
  <pageSetup paperSize="9" orientation="portrait" horizontalDpi="4294967295" r:id="rId1"/>
  <headerFooter alignWithMargins="0"/>
  <legacyDrawing r:id="rId2"/>
  <oleObjects>
    <oleObject progId="CorelDRAW.Graphic.9" shapeId="5121" r:id="rId3"/>
  </oleObjects>
</worksheet>
</file>

<file path=xl/worksheets/sheet20.xml><?xml version="1.0" encoding="utf-8"?>
<worksheet xmlns="http://schemas.openxmlformats.org/spreadsheetml/2006/main" xmlns:r="http://schemas.openxmlformats.org/officeDocument/2006/relationships">
  <sheetPr codeName="Sheet37"/>
  <dimension ref="A1:J17"/>
  <sheetViews>
    <sheetView workbookViewId="0">
      <selection activeCell="G16" sqref="G16:J16"/>
    </sheetView>
  </sheetViews>
  <sheetFormatPr defaultRowHeight="12.75"/>
  <cols>
    <col min="1" max="1" width="24" customWidth="1"/>
    <col min="2" max="4" width="12" bestFit="1" customWidth="1"/>
    <col min="5" max="5" width="8.42578125" customWidth="1"/>
    <col min="6" max="6" width="10.5703125" bestFit="1" customWidth="1"/>
    <col min="7" max="7" width="8.7109375" customWidth="1"/>
    <col min="8" max="10" width="12" bestFit="1" customWidth="1"/>
  </cols>
  <sheetData>
    <row r="1" spans="1:10" ht="16.5" customHeight="1">
      <c r="A1" s="1286" t="s">
        <v>406</v>
      </c>
      <c r="B1" s="1286"/>
      <c r="C1" s="1286"/>
      <c r="D1" s="1286"/>
      <c r="E1" s="1286"/>
      <c r="F1" s="1286"/>
      <c r="G1" s="1286"/>
      <c r="H1" s="1286"/>
      <c r="I1" s="1286"/>
      <c r="J1" s="1286"/>
    </row>
    <row r="2" spans="1:10" ht="18.75" customHeight="1">
      <c r="A2" s="1437" t="str">
        <f>CONCATENATE("Disabled Persons by type of disability and by sex in the district of ",District!$A$1,", 2011")</f>
        <v>Disabled Persons by type of disability and by sex in the district of Jalpaiguri, 2011</v>
      </c>
      <c r="B2" s="1437"/>
      <c r="C2" s="1437"/>
      <c r="D2" s="1437"/>
      <c r="E2" s="1437"/>
      <c r="F2" s="1437"/>
      <c r="G2" s="1437"/>
      <c r="H2" s="1437"/>
      <c r="I2" s="1437"/>
      <c r="J2" s="1437"/>
    </row>
    <row r="3" spans="1:10" ht="16.5" customHeight="1">
      <c r="A3" s="359"/>
      <c r="B3" s="405"/>
      <c r="C3" s="405"/>
      <c r="D3" s="405"/>
      <c r="E3" s="405"/>
      <c r="F3" s="405"/>
      <c r="G3" s="405"/>
      <c r="H3" s="405"/>
      <c r="I3" s="405"/>
      <c r="J3" s="407" t="s">
        <v>312</v>
      </c>
    </row>
    <row r="4" spans="1:10" ht="30.75" customHeight="1">
      <c r="A4" s="1299" t="s">
        <v>572</v>
      </c>
      <c r="B4" s="1444" t="s">
        <v>335</v>
      </c>
      <c r="C4" s="1444"/>
      <c r="D4" s="1446"/>
      <c r="E4" s="1445" t="s">
        <v>334</v>
      </c>
      <c r="F4" s="1444"/>
      <c r="G4" s="1446"/>
      <c r="H4" s="1445" t="s">
        <v>300</v>
      </c>
      <c r="I4" s="1444"/>
      <c r="J4" s="1446"/>
    </row>
    <row r="5" spans="1:10" ht="31.5" customHeight="1">
      <c r="A5" s="1398"/>
      <c r="B5" s="171" t="s">
        <v>332</v>
      </c>
      <c r="C5" s="171" t="s">
        <v>333</v>
      </c>
      <c r="D5" s="172" t="s">
        <v>300</v>
      </c>
      <c r="E5" s="173" t="s">
        <v>332</v>
      </c>
      <c r="F5" s="171" t="s">
        <v>333</v>
      </c>
      <c r="G5" s="172" t="s">
        <v>300</v>
      </c>
      <c r="H5" s="173" t="s">
        <v>332</v>
      </c>
      <c r="I5" s="171" t="s">
        <v>333</v>
      </c>
      <c r="J5" s="172" t="s">
        <v>300</v>
      </c>
    </row>
    <row r="6" spans="1:10" ht="21.75" customHeight="1">
      <c r="A6" s="137" t="s">
        <v>278</v>
      </c>
      <c r="B6" s="87" t="s">
        <v>279</v>
      </c>
      <c r="C6" s="87" t="s">
        <v>280</v>
      </c>
      <c r="D6" s="58" t="s">
        <v>281</v>
      </c>
      <c r="E6" s="92" t="s">
        <v>282</v>
      </c>
      <c r="F6" s="87" t="s">
        <v>283</v>
      </c>
      <c r="G6" s="58" t="s">
        <v>284</v>
      </c>
      <c r="H6" s="92" t="s">
        <v>301</v>
      </c>
      <c r="I6" s="87" t="s">
        <v>302</v>
      </c>
      <c r="J6" s="58" t="s">
        <v>303</v>
      </c>
    </row>
    <row r="7" spans="1:10" ht="39.950000000000003" customHeight="1">
      <c r="A7" s="231" t="s">
        <v>1204</v>
      </c>
      <c r="B7" s="249">
        <v>5672</v>
      </c>
      <c r="C7" s="249">
        <v>5194</v>
      </c>
      <c r="D7" s="216">
        <f t="shared" ref="D7:D14" si="0">B7+C7</f>
        <v>10866</v>
      </c>
      <c r="E7" s="249">
        <v>2501</v>
      </c>
      <c r="F7" s="249">
        <v>2312</v>
      </c>
      <c r="G7" s="216">
        <f t="shared" ref="G7:G14" si="1">E7+F7</f>
        <v>4813</v>
      </c>
      <c r="H7" s="232">
        <f t="shared" ref="H7:I14" si="2">B7+E7</f>
        <v>8173</v>
      </c>
      <c r="I7" s="225">
        <f t="shared" si="2"/>
        <v>7506</v>
      </c>
      <c r="J7" s="216">
        <f t="shared" ref="J7:J14" si="3">H7+I7</f>
        <v>15679</v>
      </c>
    </row>
    <row r="8" spans="1:10" ht="39.950000000000003" customHeight="1">
      <c r="A8" s="231" t="s">
        <v>1205</v>
      </c>
      <c r="B8" s="249">
        <v>2744</v>
      </c>
      <c r="C8" s="249">
        <v>2371</v>
      </c>
      <c r="D8" s="216">
        <f t="shared" si="0"/>
        <v>5115</v>
      </c>
      <c r="E8" s="249">
        <v>821</v>
      </c>
      <c r="F8" s="249">
        <v>764</v>
      </c>
      <c r="G8" s="216">
        <f t="shared" si="1"/>
        <v>1585</v>
      </c>
      <c r="H8" s="232">
        <f t="shared" si="2"/>
        <v>3565</v>
      </c>
      <c r="I8" s="225">
        <f t="shared" si="2"/>
        <v>3135</v>
      </c>
      <c r="J8" s="216">
        <f t="shared" si="3"/>
        <v>6700</v>
      </c>
    </row>
    <row r="9" spans="1:10" ht="39.950000000000003" customHeight="1">
      <c r="A9" s="231" t="s">
        <v>1206</v>
      </c>
      <c r="B9" s="249">
        <v>5618</v>
      </c>
      <c r="C9" s="249">
        <v>4947</v>
      </c>
      <c r="D9" s="216">
        <f t="shared" si="0"/>
        <v>10565</v>
      </c>
      <c r="E9" s="249">
        <v>1917</v>
      </c>
      <c r="F9" s="249">
        <v>1436</v>
      </c>
      <c r="G9" s="216">
        <f t="shared" si="1"/>
        <v>3353</v>
      </c>
      <c r="H9" s="232">
        <f t="shared" si="2"/>
        <v>7535</v>
      </c>
      <c r="I9" s="225">
        <f t="shared" si="2"/>
        <v>6383</v>
      </c>
      <c r="J9" s="216">
        <f t="shared" si="3"/>
        <v>13918</v>
      </c>
    </row>
    <row r="10" spans="1:10" ht="39.950000000000003" customHeight="1">
      <c r="A10" s="231" t="s">
        <v>1207</v>
      </c>
      <c r="B10" s="249">
        <v>6103</v>
      </c>
      <c r="C10" s="249">
        <v>3829</v>
      </c>
      <c r="D10" s="216">
        <f t="shared" si="0"/>
        <v>9932</v>
      </c>
      <c r="E10" s="249">
        <v>2040</v>
      </c>
      <c r="F10" s="249">
        <v>1151</v>
      </c>
      <c r="G10" s="216">
        <f t="shared" si="1"/>
        <v>3191</v>
      </c>
      <c r="H10" s="232">
        <f t="shared" si="2"/>
        <v>8143</v>
      </c>
      <c r="I10" s="225">
        <f t="shared" si="2"/>
        <v>4980</v>
      </c>
      <c r="J10" s="216">
        <f t="shared" si="3"/>
        <v>13123</v>
      </c>
    </row>
    <row r="11" spans="1:10" ht="39.950000000000003" customHeight="1">
      <c r="A11" s="231" t="s">
        <v>1436</v>
      </c>
      <c r="B11" s="249">
        <v>1440</v>
      </c>
      <c r="C11" s="249">
        <v>1219</v>
      </c>
      <c r="D11" s="216">
        <f t="shared" si="0"/>
        <v>2659</v>
      </c>
      <c r="E11" s="249">
        <v>624</v>
      </c>
      <c r="F11" s="249">
        <v>427</v>
      </c>
      <c r="G11" s="216">
        <f t="shared" si="1"/>
        <v>1051</v>
      </c>
      <c r="H11" s="232">
        <f t="shared" si="2"/>
        <v>2064</v>
      </c>
      <c r="I11" s="225">
        <f t="shared" si="2"/>
        <v>1646</v>
      </c>
      <c r="J11" s="216">
        <f t="shared" si="3"/>
        <v>3710</v>
      </c>
    </row>
    <row r="12" spans="1:10" ht="39.950000000000003" customHeight="1">
      <c r="A12" s="231" t="s">
        <v>1437</v>
      </c>
      <c r="B12" s="249">
        <v>1858</v>
      </c>
      <c r="C12" s="249">
        <v>1573</v>
      </c>
      <c r="D12" s="216">
        <f t="shared" si="0"/>
        <v>3431</v>
      </c>
      <c r="E12" s="249">
        <v>721</v>
      </c>
      <c r="F12" s="249">
        <v>579</v>
      </c>
      <c r="G12" s="216">
        <f t="shared" si="1"/>
        <v>1300</v>
      </c>
      <c r="H12" s="232">
        <f t="shared" si="2"/>
        <v>2579</v>
      </c>
      <c r="I12" s="225">
        <f t="shared" si="2"/>
        <v>2152</v>
      </c>
      <c r="J12" s="216">
        <f t="shared" si="3"/>
        <v>4731</v>
      </c>
    </row>
    <row r="13" spans="1:10" ht="39.950000000000003" customHeight="1">
      <c r="A13" s="231" t="s">
        <v>1439</v>
      </c>
      <c r="B13" s="249">
        <v>6037</v>
      </c>
      <c r="C13" s="249">
        <v>4613</v>
      </c>
      <c r="D13" s="216">
        <f t="shared" si="0"/>
        <v>10650</v>
      </c>
      <c r="E13" s="249">
        <v>2522</v>
      </c>
      <c r="F13" s="249">
        <v>1654</v>
      </c>
      <c r="G13" s="216">
        <f t="shared" si="1"/>
        <v>4176</v>
      </c>
      <c r="H13" s="232">
        <f t="shared" si="2"/>
        <v>8559</v>
      </c>
      <c r="I13" s="225">
        <f t="shared" si="2"/>
        <v>6267</v>
      </c>
      <c r="J13" s="216">
        <f t="shared" si="3"/>
        <v>14826</v>
      </c>
    </row>
    <row r="14" spans="1:10" ht="39.950000000000003" customHeight="1">
      <c r="A14" s="231" t="s">
        <v>1438</v>
      </c>
      <c r="B14" s="249">
        <v>4293</v>
      </c>
      <c r="C14" s="249">
        <v>3559</v>
      </c>
      <c r="D14" s="216">
        <f t="shared" si="0"/>
        <v>7852</v>
      </c>
      <c r="E14" s="249">
        <v>1061</v>
      </c>
      <c r="F14" s="249">
        <v>820</v>
      </c>
      <c r="G14" s="216">
        <f t="shared" si="1"/>
        <v>1881</v>
      </c>
      <c r="H14" s="232">
        <f t="shared" si="2"/>
        <v>5354</v>
      </c>
      <c r="I14" s="225">
        <f t="shared" si="2"/>
        <v>4379</v>
      </c>
      <c r="J14" s="216">
        <f t="shared" si="3"/>
        <v>9733</v>
      </c>
    </row>
    <row r="15" spans="1:10" ht="30.75" customHeight="1">
      <c r="A15" s="250" t="s">
        <v>511</v>
      </c>
      <c r="B15" s="165">
        <f t="shared" ref="B15:J15" si="4">SUM(B7:B14)</f>
        <v>33765</v>
      </c>
      <c r="C15" s="165">
        <f t="shared" si="4"/>
        <v>27305</v>
      </c>
      <c r="D15" s="166">
        <f t="shared" si="4"/>
        <v>61070</v>
      </c>
      <c r="E15" s="165">
        <f t="shared" si="4"/>
        <v>12207</v>
      </c>
      <c r="F15" s="165">
        <f t="shared" si="4"/>
        <v>9143</v>
      </c>
      <c r="G15" s="166">
        <f t="shared" si="4"/>
        <v>21350</v>
      </c>
      <c r="H15" s="164">
        <f t="shared" si="4"/>
        <v>45972</v>
      </c>
      <c r="I15" s="165">
        <f t="shared" si="4"/>
        <v>36448</v>
      </c>
      <c r="J15" s="166">
        <f t="shared" si="4"/>
        <v>82420</v>
      </c>
    </row>
    <row r="16" spans="1:10">
      <c r="A16" s="433"/>
      <c r="B16" s="359"/>
      <c r="C16" s="359"/>
      <c r="D16" s="359"/>
      <c r="E16" s="359"/>
      <c r="F16" s="359"/>
      <c r="G16" s="1416" t="s">
        <v>770</v>
      </c>
      <c r="H16" s="1416"/>
      <c r="I16" s="1416"/>
      <c r="J16" s="1416"/>
    </row>
    <row r="17" spans="1:10">
      <c r="A17" s="359"/>
      <c r="B17" s="359"/>
      <c r="C17" s="359"/>
      <c r="D17" s="359"/>
      <c r="E17" s="359"/>
      <c r="F17" s="359"/>
      <c r="G17" s="359"/>
      <c r="H17" s="359"/>
      <c r="I17" s="359"/>
      <c r="J17" s="359"/>
    </row>
  </sheetData>
  <mergeCells count="7">
    <mergeCell ref="G16:J16"/>
    <mergeCell ref="A1:J1"/>
    <mergeCell ref="A2:J2"/>
    <mergeCell ref="A4:A5"/>
    <mergeCell ref="B4:D4"/>
    <mergeCell ref="E4:G4"/>
    <mergeCell ref="H4:J4"/>
  </mergeCells>
  <phoneticPr fontId="120" type="noConversion"/>
  <printOptions horizontalCentered="1"/>
  <pageMargins left="0.1" right="0.1" top="0.7" bottom="0.1" header="0.5" footer="0.1"/>
  <pageSetup paperSize="9" orientation="landscape" blackAndWhite="1" r:id="rId1"/>
  <headerFooter alignWithMargins="0"/>
</worksheet>
</file>

<file path=xl/worksheets/sheet21.xml><?xml version="1.0" encoding="utf-8"?>
<worksheet xmlns="http://schemas.openxmlformats.org/spreadsheetml/2006/main" xmlns:r="http://schemas.openxmlformats.org/officeDocument/2006/relationships">
  <sheetPr codeName="Sheet22"/>
  <dimension ref="A1:N44"/>
  <sheetViews>
    <sheetView workbookViewId="0">
      <selection activeCell="B5" sqref="B5:E5"/>
    </sheetView>
  </sheetViews>
  <sheetFormatPr defaultRowHeight="12.75"/>
  <cols>
    <col min="1" max="1" width="19.7109375" style="36" customWidth="1"/>
    <col min="2" max="2" width="9" style="36" customWidth="1"/>
    <col min="3" max="3" width="8.85546875" style="36" customWidth="1"/>
    <col min="4" max="4" width="11.5703125" style="36" customWidth="1"/>
    <col min="5" max="5" width="9.140625" style="36"/>
    <col min="6" max="6" width="16.42578125" style="36" customWidth="1"/>
    <col min="7" max="7" width="11.140625" style="36" customWidth="1"/>
    <col min="8" max="8" width="12.85546875" style="36" customWidth="1"/>
    <col min="9" max="9" width="14.28515625" style="36" customWidth="1"/>
    <col min="10" max="10" width="9.5703125" style="36" customWidth="1"/>
    <col min="11" max="11" width="10.140625" style="36" customWidth="1"/>
    <col min="12" max="12" width="11.5703125" style="36" customWidth="1"/>
    <col min="13" max="16384" width="9.140625" style="36"/>
  </cols>
  <sheetData>
    <row r="1" spans="1:14" ht="12" customHeight="1">
      <c r="A1" s="1454" t="s">
        <v>407</v>
      </c>
      <c r="B1" s="1454"/>
      <c r="C1" s="1454"/>
      <c r="D1" s="1454"/>
      <c r="E1" s="1454"/>
      <c r="F1" s="1454"/>
      <c r="G1" s="1454"/>
      <c r="H1" s="1454"/>
      <c r="I1" s="1454"/>
      <c r="J1" s="1454"/>
      <c r="K1" s="1454"/>
      <c r="L1" s="1454"/>
    </row>
    <row r="2" spans="1:14" ht="15" customHeight="1">
      <c r="A2" s="1461" t="str">
        <f>CONCATENATE("Medical Facilities available in the district of ",District!$A$1)</f>
        <v>Medical Facilities available in the district of Jalpaiguri</v>
      </c>
      <c r="B2" s="1461"/>
      <c r="C2" s="1461"/>
      <c r="D2" s="1461"/>
      <c r="E2" s="1461"/>
      <c r="F2" s="1461"/>
      <c r="G2" s="1461"/>
      <c r="H2" s="1461"/>
      <c r="I2" s="1461"/>
      <c r="J2" s="1461"/>
      <c r="K2" s="1461"/>
      <c r="L2" s="1461"/>
    </row>
    <row r="3" spans="1:14" ht="12" customHeight="1">
      <c r="A3" s="776"/>
      <c r="B3" s="776"/>
      <c r="C3" s="776"/>
      <c r="D3" s="776"/>
      <c r="E3" s="776"/>
      <c r="F3" s="776"/>
      <c r="G3" s="776"/>
      <c r="H3" s="776"/>
      <c r="I3" s="776"/>
      <c r="J3" s="776"/>
      <c r="K3" s="776"/>
      <c r="L3" s="902" t="s">
        <v>312</v>
      </c>
    </row>
    <row r="4" spans="1:14" ht="12.75" customHeight="1">
      <c r="A4" s="1467" t="s">
        <v>98</v>
      </c>
      <c r="B4" s="1473" t="s">
        <v>357</v>
      </c>
      <c r="C4" s="1474"/>
      <c r="D4" s="1474"/>
      <c r="E4" s="1474"/>
      <c r="F4" s="1474"/>
      <c r="G4" s="1474"/>
      <c r="H4" s="1474"/>
      <c r="I4" s="1474"/>
      <c r="J4" s="1475"/>
      <c r="K4" s="1455" t="s">
        <v>1032</v>
      </c>
      <c r="L4" s="1458" t="s">
        <v>828</v>
      </c>
    </row>
    <row r="5" spans="1:14" ht="13.5" customHeight="1">
      <c r="A5" s="1468"/>
      <c r="B5" s="1465" t="s">
        <v>1336</v>
      </c>
      <c r="C5" s="1466"/>
      <c r="D5" s="1466"/>
      <c r="E5" s="1466"/>
      <c r="F5" s="1470" t="s">
        <v>64</v>
      </c>
      <c r="G5" s="1455" t="s">
        <v>827</v>
      </c>
      <c r="H5" s="1455" t="s">
        <v>65</v>
      </c>
      <c r="I5" s="1455" t="s">
        <v>1424</v>
      </c>
      <c r="J5" s="1476" t="s">
        <v>300</v>
      </c>
      <c r="K5" s="1456"/>
      <c r="L5" s="1459"/>
    </row>
    <row r="6" spans="1:14" ht="36.75" customHeight="1">
      <c r="A6" s="1469"/>
      <c r="B6" s="782" t="s">
        <v>1163</v>
      </c>
      <c r="C6" s="783" t="s">
        <v>1164</v>
      </c>
      <c r="D6" s="784" t="s">
        <v>821</v>
      </c>
      <c r="E6" s="652" t="s">
        <v>822</v>
      </c>
      <c r="F6" s="1471"/>
      <c r="G6" s="1472"/>
      <c r="H6" s="1472"/>
      <c r="I6" s="1472"/>
      <c r="J6" s="1472"/>
      <c r="K6" s="1457"/>
      <c r="L6" s="1460"/>
    </row>
    <row r="7" spans="1:14" ht="11.25" customHeight="1">
      <c r="A7" s="571" t="s">
        <v>278</v>
      </c>
      <c r="B7" s="573" t="s">
        <v>279</v>
      </c>
      <c r="C7" s="575" t="s">
        <v>280</v>
      </c>
      <c r="D7" s="573" t="s">
        <v>281</v>
      </c>
      <c r="E7" s="572" t="s">
        <v>282</v>
      </c>
      <c r="F7" s="573" t="s">
        <v>283</v>
      </c>
      <c r="G7" s="572" t="s">
        <v>284</v>
      </c>
      <c r="H7" s="573" t="s">
        <v>301</v>
      </c>
      <c r="I7" s="1012" t="s">
        <v>302</v>
      </c>
      <c r="J7" s="573" t="s">
        <v>303</v>
      </c>
      <c r="K7" s="573" t="s">
        <v>304</v>
      </c>
      <c r="L7" s="1013" t="s">
        <v>344</v>
      </c>
      <c r="M7" s="570"/>
      <c r="N7" s="570"/>
    </row>
    <row r="8" spans="1:14" ht="14.1" customHeight="1">
      <c r="A8" s="576">
        <v>2010</v>
      </c>
      <c r="B8" s="428">
        <v>5</v>
      </c>
      <c r="C8" s="215">
        <v>6</v>
      </c>
      <c r="D8" s="428">
        <v>8</v>
      </c>
      <c r="E8" s="552">
        <v>38</v>
      </c>
      <c r="F8" s="428">
        <v>3</v>
      </c>
      <c r="G8" s="215">
        <v>1</v>
      </c>
      <c r="H8" s="428">
        <v>4</v>
      </c>
      <c r="I8" s="215">
        <v>55</v>
      </c>
      <c r="J8" s="428">
        <v>120</v>
      </c>
      <c r="K8" s="215">
        <v>3456</v>
      </c>
      <c r="L8" s="574">
        <v>432</v>
      </c>
      <c r="M8" s="215"/>
      <c r="N8" s="215"/>
    </row>
    <row r="9" spans="1:14" ht="14.1" customHeight="1">
      <c r="A9" s="567">
        <v>2011</v>
      </c>
      <c r="B9" s="428">
        <v>5</v>
      </c>
      <c r="C9" s="37">
        <v>12</v>
      </c>
      <c r="D9" s="428">
        <v>2</v>
      </c>
      <c r="E9" s="552">
        <v>38</v>
      </c>
      <c r="F9" s="428">
        <v>3</v>
      </c>
      <c r="G9" s="215">
        <v>1</v>
      </c>
      <c r="H9" s="428">
        <v>4</v>
      </c>
      <c r="I9" s="215">
        <v>55</v>
      </c>
      <c r="J9" s="428">
        <v>120</v>
      </c>
      <c r="K9" s="215">
        <v>3556</v>
      </c>
      <c r="L9" s="428">
        <v>431</v>
      </c>
      <c r="M9" s="215"/>
      <c r="N9" s="215"/>
    </row>
    <row r="10" spans="1:14" ht="14.1" customHeight="1">
      <c r="A10" s="576">
        <v>2012</v>
      </c>
      <c r="B10" s="428">
        <v>5</v>
      </c>
      <c r="C10" s="215">
        <v>12</v>
      </c>
      <c r="D10" s="428">
        <v>2</v>
      </c>
      <c r="E10" s="215">
        <v>38</v>
      </c>
      <c r="F10" s="428">
        <v>3</v>
      </c>
      <c r="G10" s="215">
        <v>1</v>
      </c>
      <c r="H10" s="428">
        <v>4</v>
      </c>
      <c r="I10" s="215">
        <v>55</v>
      </c>
      <c r="J10" s="428">
        <v>120</v>
      </c>
      <c r="K10" s="215">
        <v>3556</v>
      </c>
      <c r="L10" s="428">
        <v>436</v>
      </c>
      <c r="M10" s="210"/>
      <c r="N10" s="210"/>
    </row>
    <row r="11" spans="1:14" ht="14.1" customHeight="1">
      <c r="A11" s="576">
        <v>2013</v>
      </c>
      <c r="B11" s="428">
        <v>5</v>
      </c>
      <c r="C11" s="215">
        <v>12</v>
      </c>
      <c r="D11" s="428">
        <v>2</v>
      </c>
      <c r="E11" s="215">
        <v>38</v>
      </c>
      <c r="F11" s="428">
        <v>3</v>
      </c>
      <c r="G11" s="215">
        <v>1</v>
      </c>
      <c r="H11" s="428">
        <v>4</v>
      </c>
      <c r="I11" s="215">
        <v>55</v>
      </c>
      <c r="J11" s="428">
        <v>120</v>
      </c>
      <c r="K11" s="215">
        <v>3596</v>
      </c>
      <c r="L11" s="428">
        <v>443</v>
      </c>
      <c r="M11" s="210"/>
      <c r="N11" s="210"/>
    </row>
    <row r="12" spans="1:14" ht="14.1" customHeight="1">
      <c r="A12" s="576">
        <v>2014</v>
      </c>
      <c r="B12" s="430">
        <f t="shared" ref="B12:L12" si="0">SUM(B14,B22,B27)</f>
        <v>5</v>
      </c>
      <c r="C12" s="430">
        <f t="shared" si="0"/>
        <v>12</v>
      </c>
      <c r="D12" s="430">
        <f t="shared" si="0"/>
        <v>2</v>
      </c>
      <c r="E12" s="430">
        <f t="shared" si="0"/>
        <v>38</v>
      </c>
      <c r="F12" s="430">
        <f t="shared" si="0"/>
        <v>3</v>
      </c>
      <c r="G12" s="430">
        <f t="shared" si="0"/>
        <v>1</v>
      </c>
      <c r="H12" s="430">
        <f t="shared" si="0"/>
        <v>4</v>
      </c>
      <c r="I12" s="430">
        <f t="shared" si="0"/>
        <v>55</v>
      </c>
      <c r="J12" s="430">
        <f t="shared" si="0"/>
        <v>120</v>
      </c>
      <c r="K12" s="430">
        <f t="shared" si="0"/>
        <v>3596</v>
      </c>
      <c r="L12" s="430">
        <f t="shared" si="0"/>
        <v>452</v>
      </c>
    </row>
    <row r="13" spans="1:14" ht="24" customHeight="1">
      <c r="A13" s="568" t="s">
        <v>846</v>
      </c>
      <c r="B13" s="1462" t="str">
        <f>"Year : " &amp; A12</f>
        <v>Year : 2014</v>
      </c>
      <c r="C13" s="1463"/>
      <c r="D13" s="1463"/>
      <c r="E13" s="1463"/>
      <c r="F13" s="1463"/>
      <c r="G13" s="1463"/>
      <c r="H13" s="1463"/>
      <c r="I13" s="1463"/>
      <c r="J13" s="1463"/>
      <c r="K13" s="1463"/>
      <c r="L13" s="1464"/>
    </row>
    <row r="14" spans="1:14" ht="12.75" customHeight="1">
      <c r="A14" s="606" t="s">
        <v>547</v>
      </c>
      <c r="B14" s="239">
        <f t="shared" ref="B14:L14" si="1">SUM(B15:B21)</f>
        <v>2</v>
      </c>
      <c r="C14" s="239">
        <f t="shared" si="1"/>
        <v>4</v>
      </c>
      <c r="D14" s="239" t="s">
        <v>570</v>
      </c>
      <c r="E14" s="239">
        <f t="shared" si="1"/>
        <v>18</v>
      </c>
      <c r="F14" s="239">
        <f t="shared" si="1"/>
        <v>2</v>
      </c>
      <c r="G14" s="239">
        <f t="shared" si="1"/>
        <v>1</v>
      </c>
      <c r="H14" s="579">
        <f t="shared" si="1"/>
        <v>2</v>
      </c>
      <c r="I14" s="239">
        <f t="shared" si="1"/>
        <v>21</v>
      </c>
      <c r="J14" s="579">
        <f t="shared" si="1"/>
        <v>50</v>
      </c>
      <c r="K14" s="239">
        <f t="shared" si="1"/>
        <v>1965</v>
      </c>
      <c r="L14" s="229">
        <f t="shared" si="1"/>
        <v>269</v>
      </c>
    </row>
    <row r="15" spans="1:14" ht="12.75" customHeight="1">
      <c r="A15" s="260" t="s">
        <v>561</v>
      </c>
      <c r="B15" s="232" t="s">
        <v>570</v>
      </c>
      <c r="C15" s="227">
        <v>1</v>
      </c>
      <c r="D15" s="225" t="s">
        <v>570</v>
      </c>
      <c r="E15" s="574">
        <v>3</v>
      </c>
      <c r="F15" s="225" t="s">
        <v>570</v>
      </c>
      <c r="G15" s="232" t="s">
        <v>570</v>
      </c>
      <c r="H15" s="139" t="s">
        <v>570</v>
      </c>
      <c r="I15" s="139">
        <v>2</v>
      </c>
      <c r="J15" s="807">
        <f t="shared" ref="J15:J21" si="2">SUM(B15:I15)</f>
        <v>6</v>
      </c>
      <c r="K15" s="139">
        <v>90</v>
      </c>
      <c r="L15" s="139">
        <v>12</v>
      </c>
    </row>
    <row r="16" spans="1:14" ht="12.75" customHeight="1">
      <c r="A16" s="260" t="s">
        <v>1149</v>
      </c>
      <c r="B16" s="232">
        <v>1</v>
      </c>
      <c r="C16" s="227">
        <v>1</v>
      </c>
      <c r="D16" s="225" t="s">
        <v>570</v>
      </c>
      <c r="E16" s="574">
        <v>5</v>
      </c>
      <c r="F16" s="225" t="s">
        <v>570</v>
      </c>
      <c r="G16" s="232" t="s">
        <v>570</v>
      </c>
      <c r="H16" s="139" t="s">
        <v>570</v>
      </c>
      <c r="I16" s="139">
        <v>3</v>
      </c>
      <c r="J16" s="139">
        <f t="shared" si="2"/>
        <v>10</v>
      </c>
      <c r="K16" s="139">
        <v>137</v>
      </c>
      <c r="L16" s="139">
        <v>15</v>
      </c>
    </row>
    <row r="17" spans="1:12" ht="12.75" customHeight="1">
      <c r="A17" s="260" t="s">
        <v>562</v>
      </c>
      <c r="B17" s="232">
        <v>1</v>
      </c>
      <c r="C17" s="227" t="s">
        <v>570</v>
      </c>
      <c r="D17" s="225" t="s">
        <v>570</v>
      </c>
      <c r="E17" s="574" t="s">
        <v>570</v>
      </c>
      <c r="F17" s="225">
        <v>2</v>
      </c>
      <c r="G17" s="232">
        <v>1</v>
      </c>
      <c r="H17" s="139" t="s">
        <v>570</v>
      </c>
      <c r="I17" s="139">
        <v>4</v>
      </c>
      <c r="J17" s="139">
        <f t="shared" si="2"/>
        <v>8</v>
      </c>
      <c r="K17" s="139">
        <v>880</v>
      </c>
      <c r="L17" s="139">
        <v>125</v>
      </c>
    </row>
    <row r="18" spans="1:12" ht="12.75" customHeight="1">
      <c r="A18" s="260" t="s">
        <v>549</v>
      </c>
      <c r="B18" s="232" t="s">
        <v>570</v>
      </c>
      <c r="C18" s="227">
        <v>1</v>
      </c>
      <c r="D18" s="225" t="s">
        <v>570</v>
      </c>
      <c r="E18" s="574">
        <v>6</v>
      </c>
      <c r="F18" s="225" t="s">
        <v>570</v>
      </c>
      <c r="G18" s="232" t="s">
        <v>570</v>
      </c>
      <c r="H18" s="139" t="s">
        <v>570</v>
      </c>
      <c r="I18" s="139" t="s">
        <v>570</v>
      </c>
      <c r="J18" s="139">
        <f t="shared" si="2"/>
        <v>7</v>
      </c>
      <c r="K18" s="139">
        <v>112</v>
      </c>
      <c r="L18" s="139">
        <v>14</v>
      </c>
    </row>
    <row r="19" spans="1:12" ht="12.75" customHeight="1">
      <c r="A19" s="260" t="s">
        <v>550</v>
      </c>
      <c r="B19" s="232" t="s">
        <v>570</v>
      </c>
      <c r="C19" s="227" t="s">
        <v>570</v>
      </c>
      <c r="D19" s="225" t="s">
        <v>570</v>
      </c>
      <c r="E19" s="574">
        <v>4</v>
      </c>
      <c r="F19" s="225" t="s">
        <v>570</v>
      </c>
      <c r="G19" s="232" t="s">
        <v>570</v>
      </c>
      <c r="H19" s="139">
        <v>1</v>
      </c>
      <c r="I19" s="139">
        <v>9</v>
      </c>
      <c r="J19" s="807">
        <f>SUM(B19:I19)</f>
        <v>14</v>
      </c>
      <c r="K19" s="139">
        <v>421</v>
      </c>
      <c r="L19" s="139">
        <v>25</v>
      </c>
    </row>
    <row r="20" spans="1:12" ht="12.75" customHeight="1">
      <c r="A20" s="260" t="s">
        <v>563</v>
      </c>
      <c r="B20" s="232" t="s">
        <v>570</v>
      </c>
      <c r="C20" s="425">
        <v>1</v>
      </c>
      <c r="D20" s="225" t="s">
        <v>570</v>
      </c>
      <c r="E20" s="574" t="s">
        <v>570</v>
      </c>
      <c r="F20" s="225" t="s">
        <v>570</v>
      </c>
      <c r="G20" s="232" t="s">
        <v>570</v>
      </c>
      <c r="H20" s="139" t="s">
        <v>570</v>
      </c>
      <c r="I20" s="139" t="s">
        <v>570</v>
      </c>
      <c r="J20" s="807">
        <f t="shared" si="2"/>
        <v>1</v>
      </c>
      <c r="K20" s="139">
        <v>70</v>
      </c>
      <c r="L20" s="139">
        <v>6</v>
      </c>
    </row>
    <row r="21" spans="1:12" ht="12.75" customHeight="1">
      <c r="A21" s="260" t="s">
        <v>765</v>
      </c>
      <c r="B21" s="232" t="s">
        <v>570</v>
      </c>
      <c r="C21" s="227" t="s">
        <v>570</v>
      </c>
      <c r="D21" s="225" t="s">
        <v>570</v>
      </c>
      <c r="E21" s="574" t="s">
        <v>570</v>
      </c>
      <c r="F21" s="225" t="s">
        <v>570</v>
      </c>
      <c r="G21" s="232" t="s">
        <v>570</v>
      </c>
      <c r="H21" s="139">
        <v>1</v>
      </c>
      <c r="I21" s="139">
        <v>3</v>
      </c>
      <c r="J21" s="807">
        <f t="shared" si="2"/>
        <v>4</v>
      </c>
      <c r="K21" s="139">
        <v>255</v>
      </c>
      <c r="L21" s="139">
        <v>72</v>
      </c>
    </row>
    <row r="22" spans="1:12" ht="12.75" customHeight="1">
      <c r="A22" s="605" t="s">
        <v>551</v>
      </c>
      <c r="B22" s="239">
        <f>SUM(B23:B26)</f>
        <v>1</v>
      </c>
      <c r="C22" s="239">
        <f t="shared" ref="C22:L22" si="3">SUM(C23:C26)</f>
        <v>1</v>
      </c>
      <c r="D22" s="239">
        <f t="shared" si="3"/>
        <v>2</v>
      </c>
      <c r="E22" s="239">
        <f t="shared" si="3"/>
        <v>7</v>
      </c>
      <c r="F22" s="808" t="str">
        <f>IF(SUM(F23:F26)=0,"-",(F23:F26))</f>
        <v>-</v>
      </c>
      <c r="G22" s="808" t="str">
        <f>IF(SUM(G23:G26)=0,"-",(G23:G26))</f>
        <v>-</v>
      </c>
      <c r="H22" s="808" t="str">
        <f>IF(SUM(H23:H26)=0,"-",(H23:H26))</f>
        <v>-</v>
      </c>
      <c r="I22" s="223">
        <f t="shared" si="3"/>
        <v>19</v>
      </c>
      <c r="J22" s="229">
        <f t="shared" si="3"/>
        <v>30</v>
      </c>
      <c r="K22" s="239">
        <f t="shared" si="3"/>
        <v>541</v>
      </c>
      <c r="L22" s="229">
        <f t="shared" si="3"/>
        <v>50</v>
      </c>
    </row>
    <row r="23" spans="1:12" ht="12.75" customHeight="1">
      <c r="A23" s="260" t="s">
        <v>552</v>
      </c>
      <c r="B23" s="232" t="s">
        <v>570</v>
      </c>
      <c r="C23" s="227" t="s">
        <v>570</v>
      </c>
      <c r="D23" s="225">
        <v>1</v>
      </c>
      <c r="E23" s="574">
        <v>3</v>
      </c>
      <c r="F23" s="225" t="s">
        <v>570</v>
      </c>
      <c r="G23" s="232" t="s">
        <v>570</v>
      </c>
      <c r="H23" s="139" t="s">
        <v>570</v>
      </c>
      <c r="I23" s="139">
        <v>10</v>
      </c>
      <c r="J23" s="807">
        <f>SUM(B23:I23)</f>
        <v>14</v>
      </c>
      <c r="K23" s="139">
        <v>214</v>
      </c>
      <c r="L23" s="139">
        <v>15</v>
      </c>
    </row>
    <row r="24" spans="1:12" ht="12.75" customHeight="1">
      <c r="A24" s="260" t="s">
        <v>565</v>
      </c>
      <c r="B24" s="232">
        <v>1</v>
      </c>
      <c r="C24" s="227" t="s">
        <v>570</v>
      </c>
      <c r="D24" s="225" t="s">
        <v>570</v>
      </c>
      <c r="E24" s="574" t="s">
        <v>570</v>
      </c>
      <c r="F24" s="225" t="s">
        <v>570</v>
      </c>
      <c r="G24" s="232" t="s">
        <v>570</v>
      </c>
      <c r="H24" s="139" t="s">
        <v>570</v>
      </c>
      <c r="I24" s="139" t="s">
        <v>570</v>
      </c>
      <c r="J24" s="807">
        <f>SUM(B24:I24)</f>
        <v>1</v>
      </c>
      <c r="K24" s="139">
        <v>100</v>
      </c>
      <c r="L24" s="139">
        <v>15</v>
      </c>
    </row>
    <row r="25" spans="1:12" ht="12.75" customHeight="1">
      <c r="A25" s="260" t="s">
        <v>553</v>
      </c>
      <c r="B25" s="232" t="s">
        <v>570</v>
      </c>
      <c r="C25" s="227" t="s">
        <v>570</v>
      </c>
      <c r="D25" s="225">
        <v>1</v>
      </c>
      <c r="E25" s="574">
        <v>2</v>
      </c>
      <c r="F25" s="225" t="s">
        <v>570</v>
      </c>
      <c r="G25" s="232" t="s">
        <v>570</v>
      </c>
      <c r="H25" s="139" t="s">
        <v>570</v>
      </c>
      <c r="I25" s="139">
        <v>3</v>
      </c>
      <c r="J25" s="807">
        <f>SUM(B25:I25)</f>
        <v>6</v>
      </c>
      <c r="K25" s="139">
        <v>87</v>
      </c>
      <c r="L25" s="139">
        <v>8</v>
      </c>
    </row>
    <row r="26" spans="1:12" ht="12.75" customHeight="1">
      <c r="A26" s="260" t="s">
        <v>554</v>
      </c>
      <c r="B26" s="232" t="s">
        <v>570</v>
      </c>
      <c r="C26" s="227">
        <v>1</v>
      </c>
      <c r="D26" s="225" t="s">
        <v>570</v>
      </c>
      <c r="E26" s="574">
        <v>2</v>
      </c>
      <c r="F26" s="225" t="s">
        <v>570</v>
      </c>
      <c r="G26" s="232" t="s">
        <v>570</v>
      </c>
      <c r="H26" s="139" t="s">
        <v>570</v>
      </c>
      <c r="I26" s="139">
        <v>6</v>
      </c>
      <c r="J26" s="807">
        <f>SUM(B26:I26)</f>
        <v>9</v>
      </c>
      <c r="K26" s="139">
        <v>140</v>
      </c>
      <c r="L26" s="139">
        <v>12</v>
      </c>
    </row>
    <row r="27" spans="1:12" ht="12.75" customHeight="1">
      <c r="A27" s="605" t="s">
        <v>556</v>
      </c>
      <c r="B27" s="239">
        <f>SUM(B28:B34)</f>
        <v>2</v>
      </c>
      <c r="C27" s="239">
        <f t="shared" ref="C27:L27" si="4">SUM(C28:C34)</f>
        <v>7</v>
      </c>
      <c r="D27" s="239" t="s">
        <v>570</v>
      </c>
      <c r="E27" s="239">
        <f t="shared" si="4"/>
        <v>13</v>
      </c>
      <c r="F27" s="239">
        <f t="shared" si="4"/>
        <v>1</v>
      </c>
      <c r="G27" s="224" t="str">
        <f>IF(SUM(G28:G34)=0,"-",(G28:G34))</f>
        <v>-</v>
      </c>
      <c r="H27" s="229">
        <f t="shared" si="4"/>
        <v>2</v>
      </c>
      <c r="I27" s="239">
        <f t="shared" si="4"/>
        <v>15</v>
      </c>
      <c r="J27" s="229">
        <f t="shared" si="4"/>
        <v>40</v>
      </c>
      <c r="K27" s="239">
        <f t="shared" si="4"/>
        <v>1090</v>
      </c>
      <c r="L27" s="229">
        <f t="shared" si="4"/>
        <v>133</v>
      </c>
    </row>
    <row r="28" spans="1:12" ht="12.75" customHeight="1">
      <c r="A28" s="260" t="s">
        <v>555</v>
      </c>
      <c r="B28" s="232" t="s">
        <v>570</v>
      </c>
      <c r="C28" s="227">
        <v>1</v>
      </c>
      <c r="D28" s="225" t="s">
        <v>570</v>
      </c>
      <c r="E28" s="574">
        <v>2</v>
      </c>
      <c r="F28" s="225" t="s">
        <v>570</v>
      </c>
      <c r="G28" s="232" t="s">
        <v>570</v>
      </c>
      <c r="H28" s="139" t="s">
        <v>570</v>
      </c>
      <c r="I28" s="139">
        <v>2</v>
      </c>
      <c r="J28" s="139">
        <f>SUM(B28:I28)</f>
        <v>5</v>
      </c>
      <c r="K28" s="139">
        <v>72</v>
      </c>
      <c r="L28" s="139">
        <v>8</v>
      </c>
    </row>
    <row r="29" spans="1:12" ht="12.75" customHeight="1">
      <c r="A29" s="260" t="s">
        <v>557</v>
      </c>
      <c r="B29" s="232" t="s">
        <v>570</v>
      </c>
      <c r="C29" s="227">
        <v>1</v>
      </c>
      <c r="D29" s="225" t="s">
        <v>570</v>
      </c>
      <c r="E29" s="574">
        <v>2</v>
      </c>
      <c r="F29" s="225" t="s">
        <v>570</v>
      </c>
      <c r="G29" s="232" t="s">
        <v>570</v>
      </c>
      <c r="H29" s="139" t="s">
        <v>570</v>
      </c>
      <c r="I29" s="139">
        <v>2</v>
      </c>
      <c r="J29" s="139">
        <f t="shared" ref="J29:J34" si="5">SUM(B29:I29)</f>
        <v>5</v>
      </c>
      <c r="K29" s="139">
        <v>70</v>
      </c>
      <c r="L29" s="139">
        <v>13</v>
      </c>
    </row>
    <row r="30" spans="1:12" ht="12.75" customHeight="1">
      <c r="A30" s="260" t="s">
        <v>560</v>
      </c>
      <c r="B30" s="232">
        <v>1</v>
      </c>
      <c r="C30" s="227">
        <v>1</v>
      </c>
      <c r="D30" s="225" t="s">
        <v>570</v>
      </c>
      <c r="E30" s="574">
        <v>3</v>
      </c>
      <c r="F30" s="225" t="s">
        <v>570</v>
      </c>
      <c r="G30" s="232" t="s">
        <v>570</v>
      </c>
      <c r="H30" s="139" t="s">
        <v>570</v>
      </c>
      <c r="I30" s="139">
        <v>3</v>
      </c>
      <c r="J30" s="139">
        <f t="shared" si="5"/>
        <v>8</v>
      </c>
      <c r="K30" s="139">
        <v>198</v>
      </c>
      <c r="L30" s="139">
        <v>27</v>
      </c>
    </row>
    <row r="31" spans="1:12" ht="12.75" customHeight="1">
      <c r="A31" s="260" t="s">
        <v>566</v>
      </c>
      <c r="B31" s="232" t="s">
        <v>570</v>
      </c>
      <c r="C31" s="227">
        <v>1</v>
      </c>
      <c r="D31" s="225" t="s">
        <v>570</v>
      </c>
      <c r="E31" s="574">
        <v>2</v>
      </c>
      <c r="F31" s="225" t="s">
        <v>570</v>
      </c>
      <c r="G31" s="232" t="s">
        <v>570</v>
      </c>
      <c r="H31" s="139">
        <v>1</v>
      </c>
      <c r="I31" s="139">
        <v>4</v>
      </c>
      <c r="J31" s="139">
        <f t="shared" si="5"/>
        <v>8</v>
      </c>
      <c r="K31" s="139">
        <v>194</v>
      </c>
      <c r="L31" s="139">
        <v>15</v>
      </c>
    </row>
    <row r="32" spans="1:12" ht="12.75" customHeight="1">
      <c r="A32" s="260" t="s">
        <v>567</v>
      </c>
      <c r="B32" s="232" t="s">
        <v>570</v>
      </c>
      <c r="C32" s="227">
        <v>1</v>
      </c>
      <c r="D32" s="225" t="s">
        <v>570</v>
      </c>
      <c r="E32" s="574">
        <v>2</v>
      </c>
      <c r="F32" s="225" t="s">
        <v>570</v>
      </c>
      <c r="G32" s="232" t="s">
        <v>570</v>
      </c>
      <c r="H32" s="139" t="s">
        <v>570</v>
      </c>
      <c r="I32" s="139" t="s">
        <v>570</v>
      </c>
      <c r="J32" s="139">
        <f t="shared" si="5"/>
        <v>3</v>
      </c>
      <c r="K32" s="139">
        <v>44</v>
      </c>
      <c r="L32" s="139">
        <v>4</v>
      </c>
    </row>
    <row r="33" spans="1:13" ht="12.75" customHeight="1">
      <c r="A33" s="260" t="s">
        <v>1132</v>
      </c>
      <c r="B33" s="232">
        <v>1</v>
      </c>
      <c r="C33" s="227" t="s">
        <v>570</v>
      </c>
      <c r="D33" s="225" t="s">
        <v>570</v>
      </c>
      <c r="E33" s="574" t="s">
        <v>570</v>
      </c>
      <c r="F33" s="225">
        <v>1</v>
      </c>
      <c r="G33" s="232" t="s">
        <v>570</v>
      </c>
      <c r="H33" s="139">
        <v>1</v>
      </c>
      <c r="I33" s="139">
        <v>2</v>
      </c>
      <c r="J33" s="139">
        <f t="shared" si="5"/>
        <v>5</v>
      </c>
      <c r="K33" s="139">
        <v>407</v>
      </c>
      <c r="L33" s="139">
        <v>53</v>
      </c>
    </row>
    <row r="34" spans="1:13" ht="12.75" customHeight="1">
      <c r="A34" s="569" t="s">
        <v>569</v>
      </c>
      <c r="B34" s="235" t="s">
        <v>570</v>
      </c>
      <c r="C34" s="427">
        <v>2</v>
      </c>
      <c r="D34" s="244" t="s">
        <v>570</v>
      </c>
      <c r="E34" s="580">
        <v>2</v>
      </c>
      <c r="F34" s="244" t="s">
        <v>570</v>
      </c>
      <c r="G34" s="235" t="s">
        <v>570</v>
      </c>
      <c r="H34" s="584" t="s">
        <v>570</v>
      </c>
      <c r="I34" s="584">
        <v>2</v>
      </c>
      <c r="J34" s="584">
        <f t="shared" si="5"/>
        <v>6</v>
      </c>
      <c r="K34" s="584">
        <v>105</v>
      </c>
      <c r="L34" s="584">
        <v>13</v>
      </c>
    </row>
    <row r="35" spans="1:13" ht="12.75" customHeight="1">
      <c r="A35" s="679"/>
      <c r="B35" s="301"/>
      <c r="C35" s="301"/>
      <c r="D35" s="577"/>
      <c r="H35" s="892" t="s">
        <v>80</v>
      </c>
      <c r="I35" s="893" t="s">
        <v>1014</v>
      </c>
      <c r="J35" s="895"/>
      <c r="K35" s="896"/>
      <c r="L35" s="896"/>
      <c r="M35" s="577"/>
    </row>
    <row r="36" spans="1:13" ht="12.75" customHeight="1">
      <c r="A36" s="22"/>
      <c r="B36" s="22"/>
      <c r="C36" s="22"/>
      <c r="D36" s="577"/>
      <c r="H36" s="917" t="s">
        <v>81</v>
      </c>
      <c r="I36" s="897" t="s">
        <v>379</v>
      </c>
      <c r="J36" s="897"/>
      <c r="K36" s="897"/>
      <c r="L36" s="897"/>
      <c r="M36" s="577"/>
    </row>
    <row r="37" spans="1:13" ht="12.75" customHeight="1">
      <c r="A37" s="578"/>
      <c r="B37" s="279"/>
      <c r="C37" s="279"/>
      <c r="D37" s="577"/>
      <c r="H37" s="917" t="s">
        <v>82</v>
      </c>
      <c r="I37" s="898" t="s">
        <v>222</v>
      </c>
      <c r="J37" s="899"/>
      <c r="K37" s="900"/>
      <c r="L37" s="895"/>
      <c r="M37" s="577"/>
    </row>
    <row r="38" spans="1:13" ht="12.75" customHeight="1">
      <c r="A38" s="435"/>
      <c r="B38" s="448"/>
      <c r="C38" s="448"/>
      <c r="H38" s="905" t="s">
        <v>83</v>
      </c>
      <c r="I38" s="898" t="s">
        <v>380</v>
      </c>
      <c r="J38" s="499"/>
      <c r="K38" s="499"/>
      <c r="L38" s="894"/>
    </row>
    <row r="39" spans="1:13" ht="12.75" customHeight="1">
      <c r="A39" s="448"/>
      <c r="B39" s="448"/>
      <c r="C39" s="448"/>
      <c r="H39" s="905" t="s">
        <v>1114</v>
      </c>
      <c r="I39" s="898" t="s">
        <v>642</v>
      </c>
      <c r="J39" s="499"/>
      <c r="K39" s="499"/>
      <c r="L39" s="894"/>
    </row>
    <row r="40" spans="1:13" ht="12.75" customHeight="1">
      <c r="A40" s="448"/>
      <c r="B40" s="448"/>
      <c r="C40" s="448"/>
      <c r="H40" s="905" t="s">
        <v>1017</v>
      </c>
      <c r="I40" s="898" t="s">
        <v>223</v>
      </c>
      <c r="J40" s="499"/>
      <c r="K40" s="499"/>
      <c r="L40" s="894"/>
    </row>
    <row r="41" spans="1:13" ht="12.75" customHeight="1">
      <c r="A41" s="448"/>
      <c r="B41" s="448"/>
      <c r="C41" s="448"/>
      <c r="H41" s="451"/>
      <c r="J41" s="452"/>
      <c r="K41" s="452"/>
    </row>
    <row r="42" spans="1:13" ht="12.75" customHeight="1">
      <c r="J42" s="452"/>
    </row>
    <row r="43" spans="1:13" ht="15.95" customHeight="1">
      <c r="D43" s="65"/>
    </row>
    <row r="44" spans="1:13">
      <c r="D44" s="65"/>
    </row>
  </sheetData>
  <mergeCells count="13">
    <mergeCell ref="A1:L1"/>
    <mergeCell ref="K4:K6"/>
    <mergeCell ref="L4:L6"/>
    <mergeCell ref="A2:L2"/>
    <mergeCell ref="B13:L13"/>
    <mergeCell ref="B5:E5"/>
    <mergeCell ref="A4:A6"/>
    <mergeCell ref="F5:F6"/>
    <mergeCell ref="G5:G6"/>
    <mergeCell ref="B4:J4"/>
    <mergeCell ref="H5:H6"/>
    <mergeCell ref="I5:I6"/>
    <mergeCell ref="J5:J6"/>
  </mergeCells>
  <phoneticPr fontId="0" type="noConversion"/>
  <printOptions horizontalCentered="1"/>
  <pageMargins left="0.1" right="0.1" top="0.37" bottom="0.1" header="0.47" footer="0.1"/>
  <pageSetup paperSize="9" orientation="landscape" blackAndWhite="1" r:id="rId1"/>
  <headerFooter alignWithMargins="0"/>
  <ignoredErrors>
    <ignoredError sqref="C7" numberStoredAsText="1"/>
  </ignoredErrors>
</worksheet>
</file>

<file path=xl/worksheets/sheet22.xml><?xml version="1.0" encoding="utf-8"?>
<worksheet xmlns="http://schemas.openxmlformats.org/spreadsheetml/2006/main" xmlns:r="http://schemas.openxmlformats.org/officeDocument/2006/relationships">
  <sheetPr codeName="Sheet23"/>
  <dimension ref="A1:I39"/>
  <sheetViews>
    <sheetView topLeftCell="A19" workbookViewId="0">
      <selection activeCell="G16" sqref="G16"/>
    </sheetView>
  </sheetViews>
  <sheetFormatPr defaultRowHeight="12.4" customHeight="1"/>
  <cols>
    <col min="1" max="1" width="23.5703125" style="36" customWidth="1"/>
    <col min="2" max="2" width="14" style="36" customWidth="1"/>
    <col min="3" max="7" width="12.42578125" style="36" customWidth="1"/>
    <col min="8" max="8" width="12.7109375" style="36" customWidth="1"/>
    <col min="9" max="9" width="16.140625" style="36" customWidth="1"/>
    <col min="10" max="16384" width="9.140625" style="36"/>
  </cols>
  <sheetData>
    <row r="1" spans="1:9" ht="12.4" customHeight="1">
      <c r="A1" s="1481" t="s">
        <v>408</v>
      </c>
      <c r="B1" s="1481"/>
      <c r="C1" s="1481"/>
      <c r="D1" s="1481"/>
      <c r="E1" s="1481"/>
      <c r="F1" s="1481"/>
      <c r="G1" s="1481"/>
      <c r="H1" s="1481"/>
      <c r="I1" s="1481"/>
    </row>
    <row r="2" spans="1:9" ht="16.5" customHeight="1">
      <c r="A2" s="1482" t="str">
        <f>CONCATENATE("Family Welfare Centres in the district of ",District!$A$1)</f>
        <v>Family Welfare Centres in the district of Jalpaiguri</v>
      </c>
      <c r="B2" s="1482"/>
      <c r="C2" s="1482"/>
      <c r="D2" s="1482"/>
      <c r="E2" s="1482"/>
      <c r="F2" s="1482"/>
      <c r="G2" s="1482"/>
      <c r="H2" s="1482"/>
      <c r="I2" s="1482"/>
    </row>
    <row r="3" spans="1:9" ht="12.4" customHeight="1">
      <c r="A3" s="448"/>
      <c r="B3" s="448"/>
      <c r="C3" s="449"/>
      <c r="D3" s="449"/>
      <c r="E3" s="449"/>
      <c r="F3" s="449"/>
      <c r="G3" s="449"/>
      <c r="H3" s="449"/>
      <c r="I3" s="902" t="s">
        <v>312</v>
      </c>
    </row>
    <row r="4" spans="1:9" ht="15" customHeight="1">
      <c r="A4" s="1455" t="s">
        <v>98</v>
      </c>
      <c r="B4" s="1455" t="s">
        <v>736</v>
      </c>
      <c r="C4" s="1473" t="s">
        <v>766</v>
      </c>
      <c r="D4" s="1474"/>
      <c r="E4" s="1475"/>
      <c r="F4" s="1473" t="s">
        <v>767</v>
      </c>
      <c r="G4" s="1474"/>
      <c r="H4" s="1474"/>
      <c r="I4" s="1475"/>
    </row>
    <row r="5" spans="1:9" ht="28.5" customHeight="1">
      <c r="A5" s="1457"/>
      <c r="B5" s="1457"/>
      <c r="C5" s="647" t="s">
        <v>574</v>
      </c>
      <c r="D5" s="648" t="s">
        <v>575</v>
      </c>
      <c r="E5" s="649" t="s">
        <v>300</v>
      </c>
      <c r="F5" s="650" t="s">
        <v>576</v>
      </c>
      <c r="G5" s="648" t="s">
        <v>577</v>
      </c>
      <c r="H5" s="648" t="s">
        <v>578</v>
      </c>
      <c r="I5" s="651" t="s">
        <v>254</v>
      </c>
    </row>
    <row r="6" spans="1:9" ht="15" customHeight="1">
      <c r="A6" s="457" t="s">
        <v>278</v>
      </c>
      <c r="B6" s="643" t="s">
        <v>279</v>
      </c>
      <c r="C6" s="457" t="s">
        <v>280</v>
      </c>
      <c r="D6" s="375" t="s">
        <v>281</v>
      </c>
      <c r="E6" s="374" t="s">
        <v>282</v>
      </c>
      <c r="F6" s="457" t="s">
        <v>283</v>
      </c>
      <c r="G6" s="457" t="s">
        <v>284</v>
      </c>
      <c r="H6" s="375" t="s">
        <v>301</v>
      </c>
      <c r="I6" s="457" t="s">
        <v>302</v>
      </c>
    </row>
    <row r="7" spans="1:9" ht="13.5" customHeight="1">
      <c r="A7" s="723" t="s">
        <v>1110</v>
      </c>
      <c r="B7" s="721">
        <v>537</v>
      </c>
      <c r="C7" s="323">
        <v>17</v>
      </c>
      <c r="D7" s="529" t="s">
        <v>570</v>
      </c>
      <c r="E7" s="323">
        <v>17</v>
      </c>
      <c r="F7" s="721">
        <v>4467</v>
      </c>
      <c r="G7" s="722">
        <v>4744</v>
      </c>
      <c r="H7" s="721">
        <v>3571</v>
      </c>
      <c r="I7" s="722">
        <v>33681</v>
      </c>
    </row>
    <row r="8" spans="1:9" ht="13.5" customHeight="1">
      <c r="A8" s="717" t="s">
        <v>1111</v>
      </c>
      <c r="B8" s="428">
        <v>537</v>
      </c>
      <c r="C8" s="225">
        <v>17</v>
      </c>
      <c r="D8" s="980" t="s">
        <v>570</v>
      </c>
      <c r="E8" s="225">
        <v>17</v>
      </c>
      <c r="F8" s="227">
        <v>2426</v>
      </c>
      <c r="G8" s="216">
        <v>7625</v>
      </c>
      <c r="H8" s="227">
        <v>4327</v>
      </c>
      <c r="I8" s="216">
        <v>26399</v>
      </c>
    </row>
    <row r="9" spans="1:9" ht="13.5" customHeight="1">
      <c r="A9" s="717" t="s">
        <v>641</v>
      </c>
      <c r="B9" s="227">
        <v>537</v>
      </c>
      <c r="C9" s="225">
        <v>17</v>
      </c>
      <c r="D9" s="227" t="s">
        <v>570</v>
      </c>
      <c r="E9" s="225">
        <v>17</v>
      </c>
      <c r="F9" s="227">
        <v>1066</v>
      </c>
      <c r="G9" s="225">
        <v>7461</v>
      </c>
      <c r="H9" s="232">
        <v>6198</v>
      </c>
      <c r="I9" s="227">
        <v>28326</v>
      </c>
    </row>
    <row r="10" spans="1:9" ht="13.5" customHeight="1">
      <c r="A10" s="717" t="s">
        <v>909</v>
      </c>
      <c r="B10" s="227">
        <v>537</v>
      </c>
      <c r="C10" s="225">
        <v>17</v>
      </c>
      <c r="D10" s="227" t="s">
        <v>570</v>
      </c>
      <c r="E10" s="225">
        <v>17</v>
      </c>
      <c r="F10" s="227">
        <v>939</v>
      </c>
      <c r="G10" s="225">
        <v>7392</v>
      </c>
      <c r="H10" s="232">
        <v>5601</v>
      </c>
      <c r="I10" s="227">
        <v>32928</v>
      </c>
    </row>
    <row r="11" spans="1:9" ht="13.5" customHeight="1">
      <c r="A11" s="716" t="s">
        <v>895</v>
      </c>
      <c r="B11" s="427">
        <f>SUM(B13,B21,B26)</f>
        <v>537</v>
      </c>
      <c r="C11" s="427">
        <f t="shared" ref="C11:I11" si="0">SUM(C13,C21,C26)</f>
        <v>17</v>
      </c>
      <c r="D11" s="427" t="s">
        <v>570</v>
      </c>
      <c r="E11" s="427">
        <f t="shared" si="0"/>
        <v>17</v>
      </c>
      <c r="F11" s="427">
        <f t="shared" si="0"/>
        <v>786</v>
      </c>
      <c r="G11" s="427">
        <f t="shared" si="0"/>
        <v>7295</v>
      </c>
      <c r="H11" s="427">
        <f t="shared" si="0"/>
        <v>7769</v>
      </c>
      <c r="I11" s="427">
        <f t="shared" si="0"/>
        <v>42514</v>
      </c>
    </row>
    <row r="12" spans="1:9" ht="26.25" customHeight="1">
      <c r="A12" s="720" t="s">
        <v>840</v>
      </c>
      <c r="B12" s="1478" t="str">
        <f>"Year : " &amp; A11</f>
        <v>Year : 2013-14</v>
      </c>
      <c r="C12" s="1479"/>
      <c r="D12" s="1479"/>
      <c r="E12" s="1479"/>
      <c r="F12" s="1479"/>
      <c r="G12" s="1479"/>
      <c r="H12" s="1479"/>
      <c r="I12" s="1480"/>
    </row>
    <row r="13" spans="1:9" ht="14.25" customHeight="1">
      <c r="A13" s="453" t="s">
        <v>11</v>
      </c>
      <c r="B13" s="224">
        <f t="shared" ref="B13:I13" si="1">SUM(B14:B19)</f>
        <v>206</v>
      </c>
      <c r="C13" s="224">
        <f t="shared" si="1"/>
        <v>6</v>
      </c>
      <c r="D13" s="228" t="str">
        <f>IF(SUM(D14:D19)=0,"-",(D14:D19))</f>
        <v>-</v>
      </c>
      <c r="E13" s="241">
        <f t="shared" si="1"/>
        <v>6</v>
      </c>
      <c r="F13" s="224">
        <f t="shared" si="1"/>
        <v>287</v>
      </c>
      <c r="G13" s="228">
        <f t="shared" si="1"/>
        <v>4199</v>
      </c>
      <c r="H13" s="228">
        <f t="shared" si="1"/>
        <v>2955</v>
      </c>
      <c r="I13" s="241">
        <f t="shared" si="1"/>
        <v>17733</v>
      </c>
    </row>
    <row r="14" spans="1:9" ht="14.25" customHeight="1">
      <c r="A14" s="454" t="s">
        <v>561</v>
      </c>
      <c r="B14" s="1168">
        <v>48</v>
      </c>
      <c r="C14" s="226">
        <v>1</v>
      </c>
      <c r="D14" s="428" t="s">
        <v>570</v>
      </c>
      <c r="E14" s="216">
        <f t="shared" ref="E14:E19" si="2">SUM(C14:D14)</f>
        <v>1</v>
      </c>
      <c r="F14" s="226">
        <v>21</v>
      </c>
      <c r="G14" s="428">
        <v>479</v>
      </c>
      <c r="H14" s="428">
        <v>624</v>
      </c>
      <c r="I14" s="450">
        <v>3994</v>
      </c>
    </row>
    <row r="15" spans="1:9" ht="14.25" customHeight="1">
      <c r="A15" s="78" t="s">
        <v>1149</v>
      </c>
      <c r="B15" s="226">
        <v>48</v>
      </c>
      <c r="C15" s="226">
        <v>1</v>
      </c>
      <c r="D15" s="428" t="s">
        <v>570</v>
      </c>
      <c r="E15" s="216">
        <f t="shared" si="2"/>
        <v>1</v>
      </c>
      <c r="F15" s="226">
        <v>30</v>
      </c>
      <c r="G15" s="428">
        <v>193</v>
      </c>
      <c r="H15" s="428">
        <v>359</v>
      </c>
      <c r="I15" s="450">
        <v>2707</v>
      </c>
    </row>
    <row r="16" spans="1:9" ht="14.25" customHeight="1">
      <c r="A16" s="78" t="s">
        <v>562</v>
      </c>
      <c r="B16" s="226" t="s">
        <v>570</v>
      </c>
      <c r="C16" s="226">
        <v>1</v>
      </c>
      <c r="D16" s="428" t="s">
        <v>570</v>
      </c>
      <c r="E16" s="216">
        <f t="shared" si="2"/>
        <v>1</v>
      </c>
      <c r="F16" s="226">
        <v>47</v>
      </c>
      <c r="G16" s="428">
        <v>1770</v>
      </c>
      <c r="H16" s="428">
        <v>321</v>
      </c>
      <c r="I16" s="450">
        <v>5281</v>
      </c>
    </row>
    <row r="17" spans="1:9" ht="14.25" customHeight="1">
      <c r="A17" s="78" t="s">
        <v>549</v>
      </c>
      <c r="B17" s="226">
        <v>46</v>
      </c>
      <c r="C17" s="226">
        <v>1</v>
      </c>
      <c r="D17" s="428" t="s">
        <v>570</v>
      </c>
      <c r="E17" s="216">
        <f t="shared" si="2"/>
        <v>1</v>
      </c>
      <c r="F17" s="226">
        <v>13</v>
      </c>
      <c r="G17" s="226">
        <v>888</v>
      </c>
      <c r="H17" s="428">
        <v>871</v>
      </c>
      <c r="I17" s="450">
        <v>2941</v>
      </c>
    </row>
    <row r="18" spans="1:9" ht="14.25" customHeight="1">
      <c r="A18" s="78" t="s">
        <v>550</v>
      </c>
      <c r="B18" s="226">
        <v>64</v>
      </c>
      <c r="C18" s="226">
        <v>1</v>
      </c>
      <c r="D18" s="428" t="s">
        <v>570</v>
      </c>
      <c r="E18" s="216">
        <f t="shared" si="2"/>
        <v>1</v>
      </c>
      <c r="F18" s="226">
        <v>161</v>
      </c>
      <c r="G18" s="226">
        <v>808</v>
      </c>
      <c r="H18" s="428">
        <v>712</v>
      </c>
      <c r="I18" s="450">
        <v>2517</v>
      </c>
    </row>
    <row r="19" spans="1:9" ht="14.25" customHeight="1">
      <c r="A19" s="78" t="s">
        <v>563</v>
      </c>
      <c r="B19" s="226" t="s">
        <v>570</v>
      </c>
      <c r="C19" s="226">
        <v>1</v>
      </c>
      <c r="D19" s="428" t="s">
        <v>570</v>
      </c>
      <c r="E19" s="216">
        <f t="shared" si="2"/>
        <v>1</v>
      </c>
      <c r="F19" s="226">
        <v>15</v>
      </c>
      <c r="G19" s="226">
        <v>61</v>
      </c>
      <c r="H19" s="428">
        <v>68</v>
      </c>
      <c r="I19" s="450">
        <v>293</v>
      </c>
    </row>
    <row r="20" spans="1:9" ht="14.25" customHeight="1">
      <c r="A20" s="260" t="s">
        <v>765</v>
      </c>
      <c r="B20" s="1239" t="s">
        <v>117</v>
      </c>
      <c r="C20" s="1239" t="s">
        <v>117</v>
      </c>
      <c r="D20" s="1240" t="s">
        <v>117</v>
      </c>
      <c r="E20" s="815" t="s">
        <v>117</v>
      </c>
      <c r="F20" s="815" t="s">
        <v>117</v>
      </c>
      <c r="G20" s="1241" t="s">
        <v>117</v>
      </c>
      <c r="H20" s="1241" t="s">
        <v>117</v>
      </c>
      <c r="I20" s="1240" t="s">
        <v>117</v>
      </c>
    </row>
    <row r="21" spans="1:9" ht="14.25" customHeight="1">
      <c r="A21" s="180" t="s">
        <v>15</v>
      </c>
      <c r="B21" s="224">
        <f t="shared" ref="B21:I21" si="3">SUM(B22:B25)</f>
        <v>95</v>
      </c>
      <c r="C21" s="224">
        <f t="shared" si="3"/>
        <v>4</v>
      </c>
      <c r="D21" s="228" t="str">
        <f>IF(SUM(D22:D25)=0,"-",(D22:D25))</f>
        <v>-</v>
      </c>
      <c r="E21" s="241">
        <f t="shared" si="3"/>
        <v>4</v>
      </c>
      <c r="F21" s="241">
        <f t="shared" si="3"/>
        <v>381</v>
      </c>
      <c r="G21" s="241">
        <f t="shared" si="3"/>
        <v>1229</v>
      </c>
      <c r="H21" s="228">
        <f t="shared" si="3"/>
        <v>1593</v>
      </c>
      <c r="I21" s="241">
        <f t="shared" si="3"/>
        <v>8272</v>
      </c>
    </row>
    <row r="22" spans="1:9" ht="14.25" customHeight="1">
      <c r="A22" s="78" t="s">
        <v>552</v>
      </c>
      <c r="B22" s="226">
        <v>51</v>
      </c>
      <c r="C22" s="226">
        <v>1</v>
      </c>
      <c r="D22" s="428" t="s">
        <v>570</v>
      </c>
      <c r="E22" s="216">
        <f t="shared" ref="E22:E27" si="4">SUM(C22:D22)</f>
        <v>1</v>
      </c>
      <c r="F22" s="226">
        <v>172</v>
      </c>
      <c r="G22" s="226">
        <v>174</v>
      </c>
      <c r="H22" s="428">
        <v>776</v>
      </c>
      <c r="I22" s="450">
        <v>2480</v>
      </c>
    </row>
    <row r="23" spans="1:9" ht="14.25" customHeight="1">
      <c r="A23" s="78" t="s">
        <v>565</v>
      </c>
      <c r="B23" s="226" t="s">
        <v>570</v>
      </c>
      <c r="C23" s="226">
        <v>1</v>
      </c>
      <c r="D23" s="428" t="s">
        <v>570</v>
      </c>
      <c r="E23" s="216">
        <f t="shared" si="4"/>
        <v>1</v>
      </c>
      <c r="F23" s="226">
        <v>30</v>
      </c>
      <c r="G23" s="226">
        <v>693</v>
      </c>
      <c r="H23" s="428">
        <v>185</v>
      </c>
      <c r="I23" s="450">
        <v>2216</v>
      </c>
    </row>
    <row r="24" spans="1:9" ht="14.25" customHeight="1">
      <c r="A24" s="78" t="s">
        <v>553</v>
      </c>
      <c r="B24" s="226">
        <v>22</v>
      </c>
      <c r="C24" s="226">
        <v>1</v>
      </c>
      <c r="D24" s="428" t="s">
        <v>570</v>
      </c>
      <c r="E24" s="216">
        <f t="shared" si="4"/>
        <v>1</v>
      </c>
      <c r="F24" s="226">
        <v>74</v>
      </c>
      <c r="G24" s="226" t="s">
        <v>570</v>
      </c>
      <c r="H24" s="428">
        <v>288</v>
      </c>
      <c r="I24" s="450">
        <v>1946</v>
      </c>
    </row>
    <row r="25" spans="1:9" ht="14.25" customHeight="1">
      <c r="A25" s="78" t="s">
        <v>554</v>
      </c>
      <c r="B25" s="226">
        <v>22</v>
      </c>
      <c r="C25" s="226">
        <v>1</v>
      </c>
      <c r="D25" s="428" t="s">
        <v>570</v>
      </c>
      <c r="E25" s="216">
        <f t="shared" si="4"/>
        <v>1</v>
      </c>
      <c r="F25" s="226">
        <v>105</v>
      </c>
      <c r="G25" s="226">
        <v>362</v>
      </c>
      <c r="H25" s="428">
        <v>344</v>
      </c>
      <c r="I25" s="450">
        <v>1630</v>
      </c>
    </row>
    <row r="26" spans="1:9" ht="14.25" customHeight="1">
      <c r="A26" s="180" t="s">
        <v>337</v>
      </c>
      <c r="B26" s="228">
        <f>SUM(B27:B33)</f>
        <v>236</v>
      </c>
      <c r="C26" s="228">
        <f>SUM(C27:C33)</f>
        <v>7</v>
      </c>
      <c r="D26" s="228" t="str">
        <f>IF(SUM(D27:D32)=0,"-",(D27:D32))</f>
        <v>-</v>
      </c>
      <c r="E26" s="211">
        <f t="shared" si="4"/>
        <v>7</v>
      </c>
      <c r="F26" s="224">
        <f>SUM(F27:F33)</f>
        <v>118</v>
      </c>
      <c r="G26" s="224">
        <f>SUM(G27:G33)</f>
        <v>1867</v>
      </c>
      <c r="H26" s="224">
        <f>SUM(H27:H33)</f>
        <v>3221</v>
      </c>
      <c r="I26" s="228">
        <f>SUM(I27:I33)</f>
        <v>16509</v>
      </c>
    </row>
    <row r="27" spans="1:9" ht="14.25" customHeight="1">
      <c r="A27" s="351" t="s">
        <v>555</v>
      </c>
      <c r="B27" s="225">
        <v>35</v>
      </c>
      <c r="C27" s="428">
        <v>1</v>
      </c>
      <c r="D27" s="428" t="s">
        <v>570</v>
      </c>
      <c r="E27" s="216">
        <f t="shared" si="4"/>
        <v>1</v>
      </c>
      <c r="F27" s="226" t="s">
        <v>570</v>
      </c>
      <c r="G27" s="428">
        <v>405</v>
      </c>
      <c r="H27" s="428">
        <v>232</v>
      </c>
      <c r="I27" s="450">
        <v>2822</v>
      </c>
    </row>
    <row r="28" spans="1:9" ht="14.25" customHeight="1">
      <c r="A28" s="351" t="s">
        <v>557</v>
      </c>
      <c r="B28" s="225">
        <v>44</v>
      </c>
      <c r="C28" s="428">
        <v>1</v>
      </c>
      <c r="D28" s="428" t="s">
        <v>570</v>
      </c>
      <c r="E28" s="216">
        <f t="shared" ref="E28:E33" si="5">SUM(C28:D28)</f>
        <v>1</v>
      </c>
      <c r="F28" s="226">
        <v>5</v>
      </c>
      <c r="G28" s="226">
        <v>316</v>
      </c>
      <c r="H28" s="428">
        <v>840</v>
      </c>
      <c r="I28" s="450">
        <v>3029</v>
      </c>
    </row>
    <row r="29" spans="1:9" ht="14.25" customHeight="1">
      <c r="A29" s="351" t="s">
        <v>560</v>
      </c>
      <c r="B29" s="225">
        <v>37</v>
      </c>
      <c r="C29" s="428">
        <v>1</v>
      </c>
      <c r="D29" s="428" t="s">
        <v>570</v>
      </c>
      <c r="E29" s="216">
        <f t="shared" si="5"/>
        <v>1</v>
      </c>
      <c r="F29" s="226">
        <v>81</v>
      </c>
      <c r="G29" s="226">
        <v>487</v>
      </c>
      <c r="H29" s="428">
        <v>575</v>
      </c>
      <c r="I29" s="450">
        <v>3189</v>
      </c>
    </row>
    <row r="30" spans="1:9" ht="14.25" customHeight="1">
      <c r="A30" s="351" t="s">
        <v>566</v>
      </c>
      <c r="B30" s="225">
        <v>48</v>
      </c>
      <c r="C30" s="428">
        <v>1</v>
      </c>
      <c r="D30" s="428" t="s">
        <v>570</v>
      </c>
      <c r="E30" s="216">
        <f t="shared" si="5"/>
        <v>1</v>
      </c>
      <c r="F30" s="226">
        <v>24</v>
      </c>
      <c r="G30" s="428">
        <v>176</v>
      </c>
      <c r="H30" s="428">
        <v>601</v>
      </c>
      <c r="I30" s="450">
        <v>1867</v>
      </c>
    </row>
    <row r="31" spans="1:9" ht="14.25" customHeight="1">
      <c r="A31" s="351" t="s">
        <v>567</v>
      </c>
      <c r="B31" s="225">
        <v>36</v>
      </c>
      <c r="C31" s="428">
        <v>1</v>
      </c>
      <c r="D31" s="428" t="s">
        <v>570</v>
      </c>
      <c r="E31" s="216">
        <f t="shared" si="5"/>
        <v>1</v>
      </c>
      <c r="F31" s="226">
        <v>5</v>
      </c>
      <c r="G31" s="428">
        <v>178</v>
      </c>
      <c r="H31" s="428">
        <v>378</v>
      </c>
      <c r="I31" s="450">
        <v>1987</v>
      </c>
    </row>
    <row r="32" spans="1:9" ht="14.25" customHeight="1">
      <c r="A32" s="351" t="s">
        <v>1132</v>
      </c>
      <c r="B32" s="225" t="s">
        <v>570</v>
      </c>
      <c r="C32" s="428">
        <v>1</v>
      </c>
      <c r="D32" s="428" t="s">
        <v>570</v>
      </c>
      <c r="E32" s="216">
        <f t="shared" si="5"/>
        <v>1</v>
      </c>
      <c r="F32" s="226">
        <v>3</v>
      </c>
      <c r="G32" s="428">
        <v>231</v>
      </c>
      <c r="H32" s="428">
        <v>48</v>
      </c>
      <c r="I32" s="450">
        <v>1716</v>
      </c>
    </row>
    <row r="33" spans="1:9" ht="14.25" customHeight="1">
      <c r="A33" s="354" t="s">
        <v>569</v>
      </c>
      <c r="B33" s="244">
        <v>36</v>
      </c>
      <c r="C33" s="430">
        <v>1</v>
      </c>
      <c r="D33" s="430" t="s">
        <v>570</v>
      </c>
      <c r="E33" s="236">
        <f t="shared" si="5"/>
        <v>1</v>
      </c>
      <c r="F33" s="245" t="s">
        <v>570</v>
      </c>
      <c r="G33" s="430">
        <v>74</v>
      </c>
      <c r="H33" s="430">
        <v>547</v>
      </c>
      <c r="I33" s="455">
        <v>1899</v>
      </c>
    </row>
    <row r="34" spans="1:9" ht="12.4" customHeight="1">
      <c r="A34" s="679"/>
      <c r="B34" s="301"/>
      <c r="C34" s="448"/>
      <c r="G34" s="903" t="s">
        <v>80</v>
      </c>
      <c r="H34" s="499" t="str">
        <f>CONCATENATE("Dy. C.M.O.H. - III, ",District!A1)</f>
        <v>Dy. C.M.O.H. - III, Jalpaiguri</v>
      </c>
      <c r="I34" s="904"/>
    </row>
    <row r="35" spans="1:9" ht="12.4" customHeight="1">
      <c r="A35" s="448"/>
      <c r="B35" s="448"/>
      <c r="C35" s="452"/>
      <c r="G35" s="905" t="s">
        <v>81</v>
      </c>
      <c r="H35" s="1477" t="s">
        <v>1221</v>
      </c>
      <c r="I35" s="1477"/>
    </row>
    <row r="36" spans="1:9" ht="15" customHeight="1">
      <c r="A36" s="448"/>
      <c r="B36" s="448"/>
      <c r="C36" s="452"/>
      <c r="F36" s="894"/>
      <c r="G36" s="1038"/>
      <c r="H36" s="1477"/>
      <c r="I36" s="1477"/>
    </row>
    <row r="37" spans="1:9" ht="12.4" customHeight="1">
      <c r="A37" s="448"/>
      <c r="B37" s="448"/>
      <c r="C37" s="448"/>
      <c r="H37" s="448"/>
      <c r="I37" s="448"/>
    </row>
    <row r="38" spans="1:9" ht="12.4" customHeight="1">
      <c r="A38" s="448"/>
      <c r="B38" s="448"/>
      <c r="C38" s="448"/>
      <c r="D38"/>
      <c r="E38"/>
      <c r="F38"/>
      <c r="I38" s="448"/>
    </row>
    <row r="39" spans="1:9" ht="12.4" customHeight="1">
      <c r="D39"/>
      <c r="E39"/>
      <c r="F39"/>
    </row>
  </sheetData>
  <mergeCells count="8">
    <mergeCell ref="H35:I36"/>
    <mergeCell ref="B4:B5"/>
    <mergeCell ref="B12:I12"/>
    <mergeCell ref="A1:I1"/>
    <mergeCell ref="A2:I2"/>
    <mergeCell ref="C4:E4"/>
    <mergeCell ref="F4:I4"/>
    <mergeCell ref="A4:A5"/>
  </mergeCells>
  <phoneticPr fontId="0" type="noConversion"/>
  <conditionalFormatting sqref="A1:XFD1048576">
    <cfRule type="cellIs" dxfId="14" priority="1" stopIfTrue="1" operator="equal">
      <formula>".."</formula>
    </cfRule>
  </conditionalFormatting>
  <printOptions horizontalCentered="1"/>
  <pageMargins left="0.1" right="0.1" top="0.63" bottom="0.1" header="0.5" footer="0.1"/>
  <pageSetup paperSize="9" orientation="landscape" blackAndWhite="1" r:id="rId1"/>
  <headerFooter alignWithMargins="0"/>
</worksheet>
</file>

<file path=xl/worksheets/sheet23.xml><?xml version="1.0" encoding="utf-8"?>
<worksheet xmlns="http://schemas.openxmlformats.org/spreadsheetml/2006/main" xmlns:r="http://schemas.openxmlformats.org/officeDocument/2006/relationships">
  <sheetPr codeName="Sheet24"/>
  <dimension ref="A1:J38"/>
  <sheetViews>
    <sheetView topLeftCell="A28" workbookViewId="0">
      <selection activeCell="A35" sqref="A35"/>
    </sheetView>
  </sheetViews>
  <sheetFormatPr defaultRowHeight="12.4" customHeight="1"/>
  <cols>
    <col min="1" max="1" width="22.85546875" customWidth="1"/>
    <col min="2" max="6" width="13.85546875" customWidth="1"/>
  </cols>
  <sheetData>
    <row r="1" spans="1:10" ht="17.25" customHeight="1">
      <c r="A1" s="1481" t="s">
        <v>409</v>
      </c>
      <c r="B1" s="1481"/>
      <c r="C1" s="1481"/>
      <c r="D1" s="1481"/>
      <c r="E1" s="1481"/>
      <c r="F1" s="1481"/>
    </row>
    <row r="2" spans="1:10" ht="35.25" customHeight="1">
      <c r="A2" s="1437" t="str">
        <f>CONCATENATE("Achievement of Universal Immunization Programme 
in the district of ",District!$A$1)</f>
        <v>Achievement of Universal Immunization Programme 
in the district of Jalpaiguri</v>
      </c>
      <c r="B2" s="1437"/>
      <c r="C2" s="1437"/>
      <c r="D2" s="1437"/>
      <c r="E2" s="1437"/>
      <c r="F2" s="1437"/>
    </row>
    <row r="3" spans="1:10" ht="12.4" customHeight="1">
      <c r="A3" s="359"/>
      <c r="B3" s="405"/>
      <c r="C3" s="405"/>
      <c r="D3" s="405"/>
      <c r="E3" s="405"/>
      <c r="F3" s="665" t="s">
        <v>312</v>
      </c>
    </row>
    <row r="4" spans="1:10" ht="15" customHeight="1">
      <c r="A4" s="373" t="s">
        <v>98</v>
      </c>
      <c r="B4" s="246" t="s">
        <v>585</v>
      </c>
      <c r="C4" s="325" t="s">
        <v>586</v>
      </c>
      <c r="D4" s="325" t="s">
        <v>587</v>
      </c>
      <c r="E4" s="325" t="s">
        <v>588</v>
      </c>
      <c r="F4" s="325" t="s">
        <v>589</v>
      </c>
    </row>
    <row r="5" spans="1:10" ht="15" customHeight="1">
      <c r="A5" s="57" t="s">
        <v>278</v>
      </c>
      <c r="B5" s="87" t="s">
        <v>279</v>
      </c>
      <c r="C5" s="57" t="s">
        <v>280</v>
      </c>
      <c r="D5" s="57" t="s">
        <v>281</v>
      </c>
      <c r="E5" s="57" t="s">
        <v>282</v>
      </c>
      <c r="F5" s="57" t="s">
        <v>283</v>
      </c>
    </row>
    <row r="6" spans="1:10" ht="18" customHeight="1">
      <c r="A6" s="581" t="s">
        <v>1110</v>
      </c>
      <c r="B6" s="249">
        <v>65683</v>
      </c>
      <c r="C6" s="428">
        <v>101111</v>
      </c>
      <c r="D6" s="428">
        <v>83626</v>
      </c>
      <c r="E6" s="428">
        <v>88145</v>
      </c>
      <c r="F6" s="428">
        <v>88721</v>
      </c>
    </row>
    <row r="7" spans="1:10" ht="18" customHeight="1">
      <c r="A7" s="91" t="s">
        <v>1111</v>
      </c>
      <c r="B7" s="31">
        <v>63208</v>
      </c>
      <c r="C7" s="52">
        <v>60845</v>
      </c>
      <c r="D7" s="52">
        <v>61221</v>
      </c>
      <c r="E7" s="52">
        <v>67268</v>
      </c>
      <c r="F7" s="52">
        <v>59212</v>
      </c>
    </row>
    <row r="8" spans="1:10" ht="18" customHeight="1">
      <c r="A8" s="91" t="s">
        <v>641</v>
      </c>
      <c r="B8" s="31">
        <v>66825</v>
      </c>
      <c r="C8" s="52">
        <v>62806</v>
      </c>
      <c r="D8" s="52">
        <v>54787</v>
      </c>
      <c r="E8" s="52">
        <v>65683</v>
      </c>
      <c r="F8" s="52">
        <v>60520</v>
      </c>
    </row>
    <row r="9" spans="1:10" ht="18" customHeight="1">
      <c r="A9" s="91" t="s">
        <v>909</v>
      </c>
      <c r="B9" s="52">
        <v>62968</v>
      </c>
      <c r="C9" s="169">
        <v>58812</v>
      </c>
      <c r="D9" s="169">
        <v>57542</v>
      </c>
      <c r="E9" s="169">
        <v>65072</v>
      </c>
      <c r="F9" s="52">
        <v>60013</v>
      </c>
      <c r="G9" s="249"/>
      <c r="H9" s="249"/>
      <c r="I9" s="249"/>
      <c r="J9" s="249"/>
    </row>
    <row r="10" spans="1:10" ht="18" customHeight="1">
      <c r="A10" s="275" t="s">
        <v>895</v>
      </c>
      <c r="B10" s="235">
        <f>SUM(B12,B20,B25)</f>
        <v>63455</v>
      </c>
      <c r="C10" s="235">
        <f>SUM(C12,C20,C25)</f>
        <v>61259</v>
      </c>
      <c r="D10" s="235">
        <f>SUM(D12,D20,D25)</f>
        <v>60560</v>
      </c>
      <c r="E10" s="235">
        <f>SUM(E12,E20,E25)</f>
        <v>65941</v>
      </c>
      <c r="F10" s="427">
        <f>SUM(F12,F20,F25)</f>
        <v>60448</v>
      </c>
      <c r="G10" s="296"/>
      <c r="H10" s="296"/>
      <c r="I10" s="296"/>
    </row>
    <row r="11" spans="1:10" ht="25.5" customHeight="1">
      <c r="A11" s="384" t="s">
        <v>847</v>
      </c>
      <c r="B11" s="1483" t="str">
        <f xml:space="preserve"> " Year : " &amp;A10</f>
        <v xml:space="preserve"> Year : 2013-14</v>
      </c>
      <c r="C11" s="1484"/>
      <c r="D11" s="1484"/>
      <c r="E11" s="1484"/>
      <c r="F11" s="1485"/>
    </row>
    <row r="12" spans="1:10" ht="21" customHeight="1">
      <c r="A12" s="453" t="s">
        <v>11</v>
      </c>
      <c r="B12" s="210">
        <f>SUM(B13:B18)</f>
        <v>26897</v>
      </c>
      <c r="C12" s="222">
        <f>SUM(C13:C18)</f>
        <v>27478</v>
      </c>
      <c r="D12" s="210">
        <f>SUM(D13:D18)</f>
        <v>27230</v>
      </c>
      <c r="E12" s="222">
        <f>SUM(E13:E18)</f>
        <v>30585</v>
      </c>
      <c r="F12" s="228">
        <f>SUM(F13:F18)</f>
        <v>26841</v>
      </c>
    </row>
    <row r="13" spans="1:10" ht="21" customHeight="1">
      <c r="A13" s="454" t="s">
        <v>561</v>
      </c>
      <c r="B13" s="215">
        <v>6750</v>
      </c>
      <c r="C13" s="428">
        <v>7520</v>
      </c>
      <c r="D13" s="249">
        <v>7378</v>
      </c>
      <c r="E13" s="428">
        <v>6890</v>
      </c>
      <c r="F13" s="428">
        <v>7149</v>
      </c>
    </row>
    <row r="14" spans="1:10" ht="21" customHeight="1">
      <c r="A14" s="78" t="s">
        <v>1149</v>
      </c>
      <c r="B14" s="249">
        <v>5474</v>
      </c>
      <c r="C14" s="428">
        <v>5560</v>
      </c>
      <c r="D14" s="249">
        <v>5477</v>
      </c>
      <c r="E14" s="428">
        <v>3033</v>
      </c>
      <c r="F14" s="428">
        <v>5476</v>
      </c>
    </row>
    <row r="15" spans="1:10" ht="21" customHeight="1">
      <c r="A15" s="78" t="s">
        <v>562</v>
      </c>
      <c r="B15" s="215">
        <v>1839</v>
      </c>
      <c r="C15" s="428">
        <v>1584</v>
      </c>
      <c r="D15" s="249">
        <v>1589</v>
      </c>
      <c r="E15" s="428">
        <v>9617</v>
      </c>
      <c r="F15" s="428">
        <v>1634</v>
      </c>
    </row>
    <row r="16" spans="1:10" ht="21" customHeight="1">
      <c r="A16" s="78" t="s">
        <v>549</v>
      </c>
      <c r="B16" s="215">
        <v>5533</v>
      </c>
      <c r="C16" s="428">
        <v>5578</v>
      </c>
      <c r="D16" s="249">
        <v>5580</v>
      </c>
      <c r="E16" s="428">
        <v>4577</v>
      </c>
      <c r="F16" s="428">
        <v>5548</v>
      </c>
    </row>
    <row r="17" spans="1:6" ht="21" customHeight="1">
      <c r="A17" s="78" t="s">
        <v>550</v>
      </c>
      <c r="B17" s="215">
        <v>6097</v>
      </c>
      <c r="C17" s="428">
        <v>6225</v>
      </c>
      <c r="D17" s="249">
        <v>5226</v>
      </c>
      <c r="E17" s="428">
        <v>4215</v>
      </c>
      <c r="F17" s="428">
        <v>4406</v>
      </c>
    </row>
    <row r="18" spans="1:6" ht="21" customHeight="1">
      <c r="A18" s="78" t="s">
        <v>563</v>
      </c>
      <c r="B18" s="215">
        <v>1204</v>
      </c>
      <c r="C18" s="428">
        <v>1011</v>
      </c>
      <c r="D18" s="249">
        <v>1980</v>
      </c>
      <c r="E18" s="428">
        <v>2253</v>
      </c>
      <c r="F18" s="428">
        <v>2628</v>
      </c>
    </row>
    <row r="19" spans="1:6" ht="21" customHeight="1">
      <c r="A19" s="260" t="s">
        <v>765</v>
      </c>
      <c r="B19" s="428" t="s">
        <v>117</v>
      </c>
      <c r="C19" s="428" t="s">
        <v>117</v>
      </c>
      <c r="D19" s="428" t="s">
        <v>117</v>
      </c>
      <c r="E19" s="428" t="s">
        <v>117</v>
      </c>
      <c r="F19" s="428" t="s">
        <v>117</v>
      </c>
    </row>
    <row r="20" spans="1:6" ht="21" customHeight="1">
      <c r="A20" s="180" t="s">
        <v>15</v>
      </c>
      <c r="B20" s="456">
        <f>SUM(B21:B24)</f>
        <v>9961</v>
      </c>
      <c r="C20" s="228">
        <f>SUM(C21:C24)</f>
        <v>10122</v>
      </c>
      <c r="D20" s="456">
        <f>SUM(D21:D24)</f>
        <v>9747</v>
      </c>
      <c r="E20" s="228">
        <f>SUM(E21:E24)</f>
        <v>9163</v>
      </c>
      <c r="F20" s="228">
        <f>SUM(F21:F24)</f>
        <v>9926</v>
      </c>
    </row>
    <row r="21" spans="1:6" ht="21" customHeight="1">
      <c r="A21" s="78" t="s">
        <v>552</v>
      </c>
      <c r="B21" s="215">
        <v>5298</v>
      </c>
      <c r="C21" s="428">
        <v>5390</v>
      </c>
      <c r="D21" s="249">
        <v>5055</v>
      </c>
      <c r="E21" s="428">
        <v>2980</v>
      </c>
      <c r="F21" s="428">
        <v>5378</v>
      </c>
    </row>
    <row r="22" spans="1:6" ht="21" customHeight="1">
      <c r="A22" s="78" t="s">
        <v>565</v>
      </c>
      <c r="B22" s="215">
        <v>306</v>
      </c>
      <c r="C22" s="428">
        <v>368</v>
      </c>
      <c r="D22" s="249">
        <v>371</v>
      </c>
      <c r="E22" s="428">
        <v>3038</v>
      </c>
      <c r="F22" s="428">
        <v>366</v>
      </c>
    </row>
    <row r="23" spans="1:6" ht="21" customHeight="1">
      <c r="A23" s="78" t="s">
        <v>553</v>
      </c>
      <c r="B23" s="215">
        <v>2017</v>
      </c>
      <c r="C23" s="428">
        <v>1998</v>
      </c>
      <c r="D23" s="249">
        <v>1951</v>
      </c>
      <c r="E23" s="428">
        <v>1071</v>
      </c>
      <c r="F23" s="428">
        <v>1890</v>
      </c>
    </row>
    <row r="24" spans="1:6" ht="21" customHeight="1">
      <c r="A24" s="78" t="s">
        <v>554</v>
      </c>
      <c r="B24" s="215">
        <v>2340</v>
      </c>
      <c r="C24" s="428">
        <v>2366</v>
      </c>
      <c r="D24" s="249">
        <v>2370</v>
      </c>
      <c r="E24" s="428">
        <v>2074</v>
      </c>
      <c r="F24" s="428">
        <v>2292</v>
      </c>
    </row>
    <row r="25" spans="1:6" ht="21" customHeight="1">
      <c r="A25" s="180" t="s">
        <v>337</v>
      </c>
      <c r="B25" s="456">
        <f>SUM(B26:B32)</f>
        <v>26597</v>
      </c>
      <c r="C25" s="228">
        <f>SUM(C26:C32)</f>
        <v>23659</v>
      </c>
      <c r="D25" s="456">
        <f>SUM(D26:D32)</f>
        <v>23583</v>
      </c>
      <c r="E25" s="228">
        <f>SUM(E26:E32)</f>
        <v>26193</v>
      </c>
      <c r="F25" s="228">
        <f>SUM(F26:F32)</f>
        <v>23681</v>
      </c>
    </row>
    <row r="26" spans="1:6" ht="21" customHeight="1">
      <c r="A26" s="351" t="s">
        <v>555</v>
      </c>
      <c r="B26" s="249">
        <v>3155</v>
      </c>
      <c r="C26" s="428">
        <v>3273</v>
      </c>
      <c r="D26" s="249">
        <v>3093</v>
      </c>
      <c r="E26" s="428">
        <v>3293</v>
      </c>
      <c r="F26" s="428">
        <v>3385</v>
      </c>
    </row>
    <row r="27" spans="1:6" ht="21" customHeight="1">
      <c r="A27" s="351" t="s">
        <v>557</v>
      </c>
      <c r="B27" s="249">
        <v>4759</v>
      </c>
      <c r="C27" s="428">
        <v>4668</v>
      </c>
      <c r="D27" s="249">
        <v>4638</v>
      </c>
      <c r="E27" s="428">
        <v>3183</v>
      </c>
      <c r="F27" s="428">
        <v>4763</v>
      </c>
    </row>
    <row r="28" spans="1:6" ht="21" customHeight="1">
      <c r="A28" s="351" t="s">
        <v>560</v>
      </c>
      <c r="B28" s="249">
        <v>3490</v>
      </c>
      <c r="C28" s="428">
        <v>3383</v>
      </c>
      <c r="D28" s="249">
        <v>3448</v>
      </c>
      <c r="E28" s="428">
        <v>5240</v>
      </c>
      <c r="F28" s="428">
        <v>3313</v>
      </c>
    </row>
    <row r="29" spans="1:6" ht="21" customHeight="1">
      <c r="A29" s="351" t="s">
        <v>566</v>
      </c>
      <c r="B29" s="249">
        <v>4267</v>
      </c>
      <c r="C29" s="428">
        <v>4341</v>
      </c>
      <c r="D29" s="249">
        <v>4378</v>
      </c>
      <c r="E29" s="428">
        <v>3815</v>
      </c>
      <c r="F29" s="428">
        <v>4286</v>
      </c>
    </row>
    <row r="30" spans="1:6" ht="21" customHeight="1">
      <c r="A30" s="351" t="s">
        <v>567</v>
      </c>
      <c r="B30" s="249">
        <v>3545</v>
      </c>
      <c r="C30" s="428">
        <v>3528</v>
      </c>
      <c r="D30" s="249">
        <v>3473</v>
      </c>
      <c r="E30" s="428">
        <v>2579</v>
      </c>
      <c r="F30" s="428">
        <v>3497</v>
      </c>
    </row>
    <row r="31" spans="1:6" ht="21" customHeight="1">
      <c r="A31" s="351" t="s">
        <v>568</v>
      </c>
      <c r="B31" s="249">
        <v>3898</v>
      </c>
      <c r="C31" s="428">
        <v>740</v>
      </c>
      <c r="D31" s="249">
        <v>771</v>
      </c>
      <c r="E31" s="428">
        <v>4853</v>
      </c>
      <c r="F31" s="563">
        <v>706</v>
      </c>
    </row>
    <row r="32" spans="1:6" ht="21" customHeight="1">
      <c r="A32" s="354" t="s">
        <v>569</v>
      </c>
      <c r="B32" s="243">
        <v>3483</v>
      </c>
      <c r="C32" s="430">
        <v>3726</v>
      </c>
      <c r="D32" s="243">
        <v>3782</v>
      </c>
      <c r="E32" s="430">
        <v>3230</v>
      </c>
      <c r="F32" s="430">
        <v>3731</v>
      </c>
    </row>
    <row r="33" spans="1:6" ht="12.4" customHeight="1">
      <c r="A33" s="906" t="s">
        <v>4</v>
      </c>
      <c r="B33" s="904"/>
      <c r="C33" s="904"/>
      <c r="D33" s="903"/>
      <c r="E33" s="877"/>
      <c r="F33" s="907" t="str">
        <f>CONCATENATE("  Source : Dy. C.M.O.H. - III, ", District!A1)</f>
        <v xml:space="preserve">  Source : Dy. C.M.O.H. - III, Jalpaiguri</v>
      </c>
    </row>
    <row r="34" spans="1:6" ht="12.4" customHeight="1">
      <c r="A34" s="906" t="s">
        <v>84</v>
      </c>
      <c r="B34" s="904"/>
      <c r="C34" s="904"/>
      <c r="D34" s="904"/>
      <c r="E34" s="904"/>
      <c r="F34" s="904"/>
    </row>
    <row r="35" spans="1:6" ht="12.4" customHeight="1">
      <c r="A35" s="906" t="s">
        <v>1453</v>
      </c>
      <c r="B35" s="904"/>
      <c r="C35" s="904"/>
      <c r="D35" s="904"/>
      <c r="E35" s="904"/>
      <c r="F35" s="904"/>
    </row>
    <row r="36" spans="1:6" ht="12.4" customHeight="1">
      <c r="A36" s="448"/>
      <c r="B36" s="448"/>
      <c r="C36" s="448"/>
      <c r="D36" s="448"/>
      <c r="E36" s="448"/>
      <c r="F36" s="448"/>
    </row>
    <row r="37" spans="1:6" ht="12.4" customHeight="1">
      <c r="A37" s="36"/>
      <c r="B37" s="36"/>
      <c r="C37" s="36"/>
      <c r="D37" s="36"/>
      <c r="E37" s="36"/>
      <c r="F37" s="36"/>
    </row>
    <row r="38" spans="1:6" ht="12" customHeight="1">
      <c r="A38" s="36"/>
      <c r="B38" s="36"/>
      <c r="C38" s="36"/>
      <c r="D38" s="36"/>
      <c r="E38" s="36"/>
      <c r="F38" s="36"/>
    </row>
  </sheetData>
  <mergeCells count="3">
    <mergeCell ref="A2:F2"/>
    <mergeCell ref="B11:F11"/>
    <mergeCell ref="A1:F1"/>
  </mergeCells>
  <phoneticPr fontId="0" type="noConversion"/>
  <conditionalFormatting sqref="A1:XFD1048576">
    <cfRule type="cellIs" dxfId="13" priority="1" stopIfTrue="1" operator="equal">
      <formula>".."</formula>
    </cfRule>
  </conditionalFormatting>
  <printOptions horizontalCentered="1"/>
  <pageMargins left="0.1" right="0.1" top="0.94" bottom="0.1" header="0.5" footer="0.1"/>
  <pageSetup paperSize="9" orientation="portrait" blackAndWhite="1" r:id="rId1"/>
  <headerFooter alignWithMargins="0"/>
</worksheet>
</file>

<file path=xl/worksheets/sheet24.xml><?xml version="1.0" encoding="utf-8"?>
<worksheet xmlns="http://schemas.openxmlformats.org/spreadsheetml/2006/main" xmlns:r="http://schemas.openxmlformats.org/officeDocument/2006/relationships">
  <sheetPr codeName="Sheet25"/>
  <dimension ref="A1:D40"/>
  <sheetViews>
    <sheetView workbookViewId="0">
      <selection activeCell="B11" sqref="B11:D11"/>
    </sheetView>
  </sheetViews>
  <sheetFormatPr defaultRowHeight="12.4" customHeight="1"/>
  <cols>
    <col min="1" max="1" width="24.7109375" style="36" customWidth="1"/>
    <col min="2" max="4" width="17.85546875" style="36" customWidth="1"/>
    <col min="5" max="16384" width="9.140625" style="36"/>
  </cols>
  <sheetData>
    <row r="1" spans="1:4" ht="15.75" customHeight="1">
      <c r="A1" s="1481" t="s">
        <v>410</v>
      </c>
      <c r="B1" s="1481"/>
      <c r="C1" s="1481"/>
      <c r="D1" s="1481"/>
    </row>
    <row r="2" spans="1:4" ht="33" customHeight="1">
      <c r="A2" s="1482" t="str">
        <f>CONCATENATE("Patients treated in Hospitals, Health Centres and Sub-centres 
in the district of ",District!$A$1)</f>
        <v>Patients treated in Hospitals, Health Centres and Sub-centres 
in the district of Jalpaiguri</v>
      </c>
      <c r="B2" s="1482"/>
      <c r="C2" s="1482"/>
      <c r="D2" s="1482"/>
    </row>
    <row r="3" spans="1:4" ht="12.4" customHeight="1">
      <c r="A3" s="448"/>
      <c r="B3" s="449"/>
      <c r="C3" s="449"/>
      <c r="D3" s="1055" t="s">
        <v>312</v>
      </c>
    </row>
    <row r="4" spans="1:4" ht="15" customHeight="1">
      <c r="A4" s="652" t="s">
        <v>98</v>
      </c>
      <c r="B4" s="653" t="s">
        <v>590</v>
      </c>
      <c r="C4" s="648" t="s">
        <v>591</v>
      </c>
      <c r="D4" s="649" t="s">
        <v>300</v>
      </c>
    </row>
    <row r="5" spans="1:4" ht="15" customHeight="1">
      <c r="A5" s="457" t="s">
        <v>278</v>
      </c>
      <c r="B5" s="374" t="s">
        <v>279</v>
      </c>
      <c r="C5" s="457" t="s">
        <v>280</v>
      </c>
      <c r="D5" s="375" t="s">
        <v>281</v>
      </c>
    </row>
    <row r="6" spans="1:4" ht="18" customHeight="1">
      <c r="A6" s="644">
        <v>2010</v>
      </c>
      <c r="B6" s="258">
        <v>242410</v>
      </c>
      <c r="C6" s="291">
        <v>2995310</v>
      </c>
      <c r="D6" s="458">
        <v>3237720</v>
      </c>
    </row>
    <row r="7" spans="1:4" ht="18" customHeight="1">
      <c r="A7" s="553">
        <v>2011</v>
      </c>
      <c r="B7" s="258">
        <v>258765</v>
      </c>
      <c r="C7" s="291">
        <v>3068091</v>
      </c>
      <c r="D7" s="458">
        <v>3326856</v>
      </c>
    </row>
    <row r="8" spans="1:4" ht="18" customHeight="1">
      <c r="A8" s="553">
        <v>2012</v>
      </c>
      <c r="B8" s="258">
        <v>270029</v>
      </c>
      <c r="C8" s="291">
        <v>3097111</v>
      </c>
      <c r="D8" s="458">
        <v>3367140</v>
      </c>
    </row>
    <row r="9" spans="1:4" ht="18" customHeight="1">
      <c r="A9" s="553">
        <v>2013</v>
      </c>
      <c r="B9" s="258">
        <v>279662</v>
      </c>
      <c r="C9" s="291">
        <v>3119937</v>
      </c>
      <c r="D9" s="458">
        <v>3399599</v>
      </c>
    </row>
    <row r="10" spans="1:4" ht="18" customHeight="1">
      <c r="A10" s="645">
        <v>2014</v>
      </c>
      <c r="B10" s="243">
        <f>SUM(B12,B20,B25,)</f>
        <v>289753</v>
      </c>
      <c r="C10" s="430">
        <f>SUM(C12,C20,C25,)</f>
        <v>3152721</v>
      </c>
      <c r="D10" s="455">
        <f>SUM(D12,D20,D25,)</f>
        <v>3442474</v>
      </c>
    </row>
    <row r="11" spans="1:4" ht="28.5" customHeight="1">
      <c r="A11" s="733" t="s">
        <v>847</v>
      </c>
      <c r="B11" s="1463" t="str">
        <f>"Year : "   &amp;  A10</f>
        <v>Year : 2014</v>
      </c>
      <c r="C11" s="1486"/>
      <c r="D11" s="1487"/>
    </row>
    <row r="12" spans="1:4" ht="21.75" customHeight="1">
      <c r="A12" s="453" t="s">
        <v>11</v>
      </c>
      <c r="B12" s="456">
        <f>SUM(B13:B19)</f>
        <v>136901</v>
      </c>
      <c r="C12" s="1028">
        <f>SUM(C13:C19)</f>
        <v>1435220</v>
      </c>
      <c r="D12" s="222">
        <f>SUM(D13:D19)</f>
        <v>1572121</v>
      </c>
    </row>
    <row r="13" spans="1:4" ht="21.95" customHeight="1">
      <c r="A13" s="454" t="s">
        <v>1133</v>
      </c>
      <c r="B13" s="249">
        <v>4283</v>
      </c>
      <c r="C13" s="226">
        <v>240537</v>
      </c>
      <c r="D13" s="981">
        <f>SUM(B13:C13)</f>
        <v>244820</v>
      </c>
    </row>
    <row r="14" spans="1:4" ht="21.95" customHeight="1">
      <c r="A14" s="78" t="s">
        <v>1149</v>
      </c>
      <c r="B14" s="249">
        <v>4254</v>
      </c>
      <c r="C14" s="226">
        <v>158864</v>
      </c>
      <c r="D14" s="981">
        <f t="shared" ref="D14:D24" si="0">SUM(B14:C14)</f>
        <v>163118</v>
      </c>
    </row>
    <row r="15" spans="1:4" ht="21.95" customHeight="1">
      <c r="A15" s="78" t="s">
        <v>562</v>
      </c>
      <c r="B15" s="249">
        <v>74247</v>
      </c>
      <c r="C15" s="226">
        <v>435144</v>
      </c>
      <c r="D15" s="981">
        <f t="shared" si="0"/>
        <v>509391</v>
      </c>
    </row>
    <row r="16" spans="1:4" ht="21.95" customHeight="1">
      <c r="A16" s="78" t="s">
        <v>549</v>
      </c>
      <c r="B16" s="249">
        <v>11901</v>
      </c>
      <c r="C16" s="226">
        <v>148141</v>
      </c>
      <c r="D16" s="981">
        <f t="shared" si="0"/>
        <v>160042</v>
      </c>
    </row>
    <row r="17" spans="1:4" ht="21.95" customHeight="1">
      <c r="A17" s="78" t="s">
        <v>550</v>
      </c>
      <c r="B17" s="249">
        <v>9053</v>
      </c>
      <c r="C17" s="226">
        <v>144982</v>
      </c>
      <c r="D17" s="981">
        <f t="shared" si="0"/>
        <v>154035</v>
      </c>
    </row>
    <row r="18" spans="1:4" ht="21.95" customHeight="1">
      <c r="A18" s="78" t="s">
        <v>563</v>
      </c>
      <c r="B18" s="249">
        <v>9213</v>
      </c>
      <c r="C18" s="226">
        <v>137273</v>
      </c>
      <c r="D18" s="981">
        <f t="shared" si="0"/>
        <v>146486</v>
      </c>
    </row>
    <row r="19" spans="1:4" ht="21.95" customHeight="1">
      <c r="A19" s="260" t="s">
        <v>765</v>
      </c>
      <c r="B19" s="428">
        <v>23950</v>
      </c>
      <c r="C19" s="226">
        <v>170279</v>
      </c>
      <c r="D19" s="981">
        <f t="shared" si="0"/>
        <v>194229</v>
      </c>
    </row>
    <row r="20" spans="1:4" ht="21.95" customHeight="1">
      <c r="A20" s="180" t="s">
        <v>15</v>
      </c>
      <c r="B20" s="228">
        <f>SUM(B21:B24)</f>
        <v>33971</v>
      </c>
      <c r="C20" s="224">
        <f>SUM(C21:C24)</f>
        <v>448216</v>
      </c>
      <c r="D20" s="228">
        <f>SUM(D21:D24)</f>
        <v>482187</v>
      </c>
    </row>
    <row r="21" spans="1:4" ht="21.95" customHeight="1">
      <c r="A21" s="78" t="s">
        <v>552</v>
      </c>
      <c r="B21" s="249">
        <v>6052</v>
      </c>
      <c r="C21" s="226">
        <v>85062</v>
      </c>
      <c r="D21" s="981">
        <f t="shared" si="0"/>
        <v>91114</v>
      </c>
    </row>
    <row r="22" spans="1:4" ht="21.95" customHeight="1">
      <c r="A22" s="78" t="s">
        <v>565</v>
      </c>
      <c r="B22" s="249">
        <v>18686</v>
      </c>
      <c r="C22" s="226">
        <v>127877</v>
      </c>
      <c r="D22" s="981">
        <f t="shared" si="0"/>
        <v>146563</v>
      </c>
    </row>
    <row r="23" spans="1:4" ht="21.95" customHeight="1">
      <c r="A23" s="78" t="s">
        <v>553</v>
      </c>
      <c r="B23" s="249">
        <v>3327</v>
      </c>
      <c r="C23" s="226">
        <v>92082</v>
      </c>
      <c r="D23" s="981">
        <f t="shared" si="0"/>
        <v>95409</v>
      </c>
    </row>
    <row r="24" spans="1:4" ht="21.95" customHeight="1">
      <c r="A24" s="78" t="s">
        <v>554</v>
      </c>
      <c r="B24" s="249">
        <v>5906</v>
      </c>
      <c r="C24" s="226">
        <v>143195</v>
      </c>
      <c r="D24" s="981">
        <f t="shared" si="0"/>
        <v>149101</v>
      </c>
    </row>
    <row r="25" spans="1:4" ht="21.95" customHeight="1">
      <c r="A25" s="180" t="s">
        <v>337</v>
      </c>
      <c r="B25" s="238">
        <f>SUM(B26:B32)</f>
        <v>118881</v>
      </c>
      <c r="C25" s="239">
        <f>SUM(C26:C32)</f>
        <v>1269285</v>
      </c>
      <c r="D25" s="229">
        <f>SUM(D26:D32)</f>
        <v>1388166</v>
      </c>
    </row>
    <row r="26" spans="1:4" ht="21.95" customHeight="1">
      <c r="A26" s="351" t="s">
        <v>555</v>
      </c>
      <c r="B26" s="240">
        <v>5414</v>
      </c>
      <c r="C26" s="232">
        <v>81846</v>
      </c>
      <c r="D26" s="611">
        <f>SUM(B26:C26)</f>
        <v>87260</v>
      </c>
    </row>
    <row r="27" spans="1:4" ht="21.95" customHeight="1">
      <c r="A27" s="351" t="s">
        <v>557</v>
      </c>
      <c r="B27" s="240">
        <v>10532</v>
      </c>
      <c r="C27" s="232">
        <v>183424</v>
      </c>
      <c r="D27" s="611">
        <f t="shared" ref="D27:D32" si="1">SUM(B27:C27)</f>
        <v>193956</v>
      </c>
    </row>
    <row r="28" spans="1:4" ht="21.95" customHeight="1">
      <c r="A28" s="351" t="s">
        <v>560</v>
      </c>
      <c r="B28" s="240">
        <v>34749</v>
      </c>
      <c r="C28" s="232">
        <v>272906</v>
      </c>
      <c r="D28" s="611">
        <f t="shared" si="1"/>
        <v>307655</v>
      </c>
    </row>
    <row r="29" spans="1:4" ht="21.95" customHeight="1">
      <c r="A29" s="351" t="s">
        <v>566</v>
      </c>
      <c r="B29" s="240">
        <v>7294</v>
      </c>
      <c r="C29" s="232">
        <v>104492</v>
      </c>
      <c r="D29" s="611">
        <f t="shared" si="1"/>
        <v>111786</v>
      </c>
    </row>
    <row r="30" spans="1:4" ht="21.95" customHeight="1">
      <c r="A30" s="351" t="s">
        <v>567</v>
      </c>
      <c r="B30" s="240">
        <v>3933</v>
      </c>
      <c r="C30" s="232">
        <v>138952</v>
      </c>
      <c r="D30" s="611">
        <f t="shared" si="1"/>
        <v>142885</v>
      </c>
    </row>
    <row r="31" spans="1:4" ht="21.95" customHeight="1">
      <c r="A31" s="351" t="s">
        <v>568</v>
      </c>
      <c r="B31" s="240">
        <v>51302</v>
      </c>
      <c r="C31" s="232">
        <v>304638</v>
      </c>
      <c r="D31" s="611">
        <f t="shared" si="1"/>
        <v>355940</v>
      </c>
    </row>
    <row r="32" spans="1:4" ht="21.95" customHeight="1">
      <c r="A32" s="354" t="s">
        <v>569</v>
      </c>
      <c r="B32" s="244">
        <v>5657</v>
      </c>
      <c r="C32" s="235">
        <v>183027</v>
      </c>
      <c r="D32" s="738">
        <f t="shared" si="1"/>
        <v>188684</v>
      </c>
    </row>
    <row r="33" spans="1:4" ht="12.4" customHeight="1">
      <c r="A33" s="448"/>
      <c r="B33" s="892" t="s">
        <v>80</v>
      </c>
      <c r="C33" s="893" t="s">
        <v>1014</v>
      </c>
      <c r="D33" s="895"/>
    </row>
    <row r="34" spans="1:4" ht="12.4" customHeight="1">
      <c r="A34" s="448"/>
      <c r="B34" s="917" t="s">
        <v>81</v>
      </c>
      <c r="C34" s="897" t="s">
        <v>224</v>
      </c>
      <c r="D34" s="894"/>
    </row>
    <row r="35" spans="1:4" ht="13.5" customHeight="1">
      <c r="A35" s="448"/>
      <c r="B35" s="901"/>
      <c r="C35" s="908" t="s">
        <v>378</v>
      </c>
      <c r="D35" s="895"/>
    </row>
    <row r="36" spans="1:4" ht="12.4" customHeight="1">
      <c r="A36" s="448"/>
      <c r="B36" s="903" t="s">
        <v>82</v>
      </c>
      <c r="C36" s="898" t="s">
        <v>222</v>
      </c>
      <c r="D36" s="909"/>
    </row>
    <row r="37" spans="1:4" ht="12.4" customHeight="1">
      <c r="A37" s="448"/>
      <c r="B37" s="903" t="s">
        <v>83</v>
      </c>
      <c r="C37" s="898" t="s">
        <v>626</v>
      </c>
      <c r="D37" s="499"/>
    </row>
    <row r="38" spans="1:4" ht="12.4" customHeight="1">
      <c r="A38" s="448"/>
      <c r="B38" s="903" t="s">
        <v>1114</v>
      </c>
      <c r="C38" s="898" t="s">
        <v>642</v>
      </c>
      <c r="D38" s="904"/>
    </row>
    <row r="39" spans="1:4" ht="12.4" customHeight="1">
      <c r="A39" s="448"/>
      <c r="B39" s="903" t="s">
        <v>1017</v>
      </c>
      <c r="C39" s="898" t="s">
        <v>223</v>
      </c>
      <c r="D39" s="904"/>
    </row>
    <row r="40" spans="1:4" ht="12.4" customHeight="1">
      <c r="A40" s="448"/>
      <c r="B40" s="448"/>
      <c r="C40" s="448"/>
      <c r="D40" s="448"/>
    </row>
  </sheetData>
  <mergeCells count="3">
    <mergeCell ref="A1:D1"/>
    <mergeCell ref="A2:D2"/>
    <mergeCell ref="B11:D11"/>
  </mergeCells>
  <phoneticPr fontId="0" type="noConversion"/>
  <printOptions horizontalCentered="1"/>
  <pageMargins left="0.15" right="0.1" top="0.75" bottom="0.1" header="0.5" footer="0.1"/>
  <pageSetup paperSize="9" orientation="portrait" blackAndWhite="1" r:id="rId1"/>
  <headerFooter alignWithMargins="0"/>
</worksheet>
</file>

<file path=xl/worksheets/sheet25.xml><?xml version="1.0" encoding="utf-8"?>
<worksheet xmlns="http://schemas.openxmlformats.org/spreadsheetml/2006/main" xmlns:r="http://schemas.openxmlformats.org/officeDocument/2006/relationships">
  <sheetPr codeName="Sheet18"/>
  <dimension ref="A1:G35"/>
  <sheetViews>
    <sheetView topLeftCell="A28" workbookViewId="0">
      <selection activeCell="A12" sqref="A12"/>
    </sheetView>
  </sheetViews>
  <sheetFormatPr defaultRowHeight="12.75"/>
  <cols>
    <col min="1" max="1" width="23.5703125" customWidth="1"/>
    <col min="2" max="2" width="15.7109375" customWidth="1"/>
    <col min="3" max="5" width="16.140625" customWidth="1"/>
  </cols>
  <sheetData>
    <row r="1" spans="1:7" ht="14.25" customHeight="1">
      <c r="A1" s="1286" t="s">
        <v>411</v>
      </c>
      <c r="B1" s="1286"/>
      <c r="C1" s="1286"/>
      <c r="D1" s="1286"/>
      <c r="E1" s="1286"/>
    </row>
    <row r="2" spans="1:7" ht="37.5" customHeight="1">
      <c r="A2" s="1311" t="str">
        <f>CONCATENATE("Births and Deaths in different Hospitals and Health Centres 
in the district of ",District!A1)</f>
        <v>Births and Deaths in different Hospitals and Health Centres 
in the district of Jalpaiguri</v>
      </c>
      <c r="B2" s="1311"/>
      <c r="C2" s="1311"/>
      <c r="D2" s="1311"/>
      <c r="E2" s="1311"/>
    </row>
    <row r="3" spans="1:7" ht="12" customHeight="1">
      <c r="B3" s="7"/>
      <c r="C3" s="4"/>
      <c r="E3" s="905" t="s">
        <v>312</v>
      </c>
    </row>
    <row r="4" spans="1:7" ht="15" customHeight="1">
      <c r="A4" s="1299" t="s">
        <v>98</v>
      </c>
      <c r="B4" s="1299" t="s">
        <v>1222</v>
      </c>
      <c r="C4" s="1489" t="s">
        <v>708</v>
      </c>
      <c r="D4" s="1489"/>
      <c r="E4" s="1490"/>
    </row>
    <row r="5" spans="1:7" ht="15" customHeight="1">
      <c r="A5" s="1302"/>
      <c r="B5" s="1398"/>
      <c r="C5" s="631" t="s">
        <v>1519</v>
      </c>
      <c r="D5" s="634" t="s">
        <v>1520</v>
      </c>
      <c r="E5" s="373" t="s">
        <v>300</v>
      </c>
    </row>
    <row r="6" spans="1:7" ht="15" customHeight="1">
      <c r="A6" s="324" t="s">
        <v>278</v>
      </c>
      <c r="B6" s="461" t="s">
        <v>279</v>
      </c>
      <c r="C6" s="462" t="s">
        <v>280</v>
      </c>
      <c r="D6" s="380" t="s">
        <v>281</v>
      </c>
      <c r="E6" s="461" t="s">
        <v>282</v>
      </c>
    </row>
    <row r="7" spans="1:7" ht="16.5" customHeight="1">
      <c r="A7" s="91">
        <v>2010</v>
      </c>
      <c r="B7" s="391">
        <v>54504</v>
      </c>
      <c r="C7" s="53">
        <v>1110</v>
      </c>
      <c r="D7" s="754">
        <v>4220</v>
      </c>
      <c r="E7" s="529">
        <v>5330</v>
      </c>
    </row>
    <row r="8" spans="1:7" ht="16.5" customHeight="1">
      <c r="A8" s="91">
        <v>2011</v>
      </c>
      <c r="B8" s="391">
        <v>58590</v>
      </c>
      <c r="C8" s="53">
        <v>1242</v>
      </c>
      <c r="D8" s="232">
        <v>4512</v>
      </c>
      <c r="E8" s="227">
        <v>5754</v>
      </c>
    </row>
    <row r="9" spans="1:7" ht="16.5" customHeight="1">
      <c r="A9" s="91">
        <v>2012</v>
      </c>
      <c r="B9" s="391">
        <v>55906</v>
      </c>
      <c r="C9" s="53">
        <v>1575</v>
      </c>
      <c r="D9" s="232">
        <v>4637</v>
      </c>
      <c r="E9" s="227">
        <v>6212</v>
      </c>
    </row>
    <row r="10" spans="1:7" ht="16.5" customHeight="1">
      <c r="A10" s="298">
        <v>2013</v>
      </c>
      <c r="B10" s="391">
        <v>57301</v>
      </c>
      <c r="C10" s="53">
        <v>1586</v>
      </c>
      <c r="D10" s="232">
        <v>4749</v>
      </c>
      <c r="E10" s="227">
        <v>6335</v>
      </c>
    </row>
    <row r="11" spans="1:7" ht="16.5" customHeight="1">
      <c r="A11" s="275">
        <v>2014</v>
      </c>
      <c r="B11" s="236">
        <f>SUM(B13,B21,B26,)</f>
        <v>59822</v>
      </c>
      <c r="C11" s="235">
        <f>SUM(C13,C21,C26,)</f>
        <v>1462</v>
      </c>
      <c r="D11" s="235">
        <f>SUM(D13,D21,D26,)</f>
        <v>4780</v>
      </c>
      <c r="E11" s="227">
        <f>SUM(C11:D11)</f>
        <v>6242</v>
      </c>
    </row>
    <row r="12" spans="1:7" ht="27" customHeight="1">
      <c r="A12" s="556" t="s">
        <v>840</v>
      </c>
      <c r="B12" s="1491" t="str">
        <f>"Year : "  &amp;  A11</f>
        <v>Year : 2014</v>
      </c>
      <c r="C12" s="1492"/>
      <c r="D12" s="1492"/>
      <c r="E12" s="1493"/>
    </row>
    <row r="13" spans="1:7" ht="24" customHeight="1">
      <c r="A13" s="266" t="s">
        <v>11</v>
      </c>
      <c r="B13" s="379">
        <f>SUM(B14:B20)</f>
        <v>28229</v>
      </c>
      <c r="C13" s="379">
        <f>SUM(C14:C20)</f>
        <v>682</v>
      </c>
      <c r="D13" s="379">
        <f>SUM(D14:D20)</f>
        <v>2608</v>
      </c>
      <c r="E13" s="579">
        <f>SUM(E14:E20)</f>
        <v>3290</v>
      </c>
    </row>
    <row r="14" spans="1:7" ht="24" customHeight="1">
      <c r="A14" s="351" t="s">
        <v>561</v>
      </c>
      <c r="B14" s="169">
        <v>1967</v>
      </c>
      <c r="C14" s="232">
        <v>109</v>
      </c>
      <c r="D14" s="232">
        <v>39</v>
      </c>
      <c r="E14" s="52">
        <f>SUM(C14:D14)</f>
        <v>148</v>
      </c>
    </row>
    <row r="15" spans="1:7" ht="24" customHeight="1">
      <c r="A15" s="351" t="s">
        <v>1149</v>
      </c>
      <c r="B15" s="169">
        <v>2469</v>
      </c>
      <c r="C15" s="232">
        <v>91</v>
      </c>
      <c r="D15" s="232">
        <v>57</v>
      </c>
      <c r="E15" s="52">
        <f t="shared" ref="E15:E20" si="0">SUM(C15:D15)</f>
        <v>148</v>
      </c>
      <c r="G15" s="53"/>
    </row>
    <row r="16" spans="1:7" ht="24" customHeight="1">
      <c r="A16" s="351" t="s">
        <v>562</v>
      </c>
      <c r="B16" s="169">
        <v>13414</v>
      </c>
      <c r="C16" s="232">
        <v>261</v>
      </c>
      <c r="D16" s="232">
        <v>1703</v>
      </c>
      <c r="E16" s="52">
        <f t="shared" si="0"/>
        <v>1964</v>
      </c>
      <c r="G16" s="53"/>
    </row>
    <row r="17" spans="1:7" ht="24" customHeight="1">
      <c r="A17" s="351" t="s">
        <v>549</v>
      </c>
      <c r="B17" s="169">
        <v>3084</v>
      </c>
      <c r="C17" s="232">
        <v>93</v>
      </c>
      <c r="D17" s="232">
        <v>37</v>
      </c>
      <c r="E17" s="52">
        <f t="shared" si="0"/>
        <v>130</v>
      </c>
      <c r="G17" s="53"/>
    </row>
    <row r="18" spans="1:7" ht="24" customHeight="1">
      <c r="A18" s="351" t="s">
        <v>550</v>
      </c>
      <c r="B18" s="376">
        <v>3757</v>
      </c>
      <c r="C18" s="589">
        <v>86</v>
      </c>
      <c r="D18" s="589">
        <v>191</v>
      </c>
      <c r="E18" s="52">
        <f t="shared" si="0"/>
        <v>277</v>
      </c>
    </row>
    <row r="19" spans="1:7" ht="24" customHeight="1">
      <c r="A19" s="351" t="s">
        <v>563</v>
      </c>
      <c r="B19" s="169">
        <v>3024</v>
      </c>
      <c r="C19" s="169">
        <v>26</v>
      </c>
      <c r="D19" s="232">
        <v>34</v>
      </c>
      <c r="E19" s="52">
        <f t="shared" si="0"/>
        <v>60</v>
      </c>
    </row>
    <row r="20" spans="1:7" ht="24" customHeight="1">
      <c r="A20" s="260" t="s">
        <v>765</v>
      </c>
      <c r="B20" s="232">
        <v>514</v>
      </c>
      <c r="C20" s="232">
        <v>16</v>
      </c>
      <c r="D20" s="232">
        <v>547</v>
      </c>
      <c r="E20" s="52">
        <f t="shared" si="0"/>
        <v>563</v>
      </c>
    </row>
    <row r="21" spans="1:7" ht="24" customHeight="1">
      <c r="A21" s="266" t="s">
        <v>15</v>
      </c>
      <c r="B21" s="239">
        <f>SUM(B22:B25)</f>
        <v>8916</v>
      </c>
      <c r="C21" s="239">
        <f>SUM(C22:C25)</f>
        <v>285</v>
      </c>
      <c r="D21" s="239">
        <f>SUM(D22:D25)</f>
        <v>814</v>
      </c>
      <c r="E21" s="229">
        <f>IF(SUM(E22:E25)=0,"..",SUM(E22:E25))</f>
        <v>1099</v>
      </c>
    </row>
    <row r="22" spans="1:7" ht="24" customHeight="1">
      <c r="A22" s="351" t="s">
        <v>552</v>
      </c>
      <c r="B22" s="169">
        <v>2370</v>
      </c>
      <c r="C22" s="169">
        <v>96</v>
      </c>
      <c r="D22" s="732">
        <v>203</v>
      </c>
      <c r="E22" s="52">
        <f>SUM(C22:D22)</f>
        <v>299</v>
      </c>
    </row>
    <row r="23" spans="1:7" ht="24" customHeight="1">
      <c r="A23" s="351" t="s">
        <v>565</v>
      </c>
      <c r="B23" s="169">
        <v>3397</v>
      </c>
      <c r="C23" s="480">
        <v>75</v>
      </c>
      <c r="D23" s="232">
        <v>442</v>
      </c>
      <c r="E23" s="52">
        <f>SUM(C23:D23)</f>
        <v>517</v>
      </c>
    </row>
    <row r="24" spans="1:7" ht="24" customHeight="1">
      <c r="A24" s="351" t="s">
        <v>553</v>
      </c>
      <c r="B24" s="376">
        <v>915</v>
      </c>
      <c r="C24" s="376">
        <v>49</v>
      </c>
      <c r="D24" s="232">
        <v>62</v>
      </c>
      <c r="E24" s="52">
        <f>SUM(C24:D24)</f>
        <v>111</v>
      </c>
    </row>
    <row r="25" spans="1:7" ht="24" customHeight="1">
      <c r="A25" s="351" t="s">
        <v>554</v>
      </c>
      <c r="B25" s="169">
        <v>2234</v>
      </c>
      <c r="C25" s="480">
        <v>65</v>
      </c>
      <c r="D25" s="232">
        <v>107</v>
      </c>
      <c r="E25" s="52">
        <f>SUM(C25:D25)</f>
        <v>172</v>
      </c>
    </row>
    <row r="26" spans="1:7" ht="24" customHeight="1">
      <c r="A26" s="266" t="s">
        <v>337</v>
      </c>
      <c r="B26" s="239">
        <f>SUM(B27:B33)</f>
        <v>22677</v>
      </c>
      <c r="C26" s="239">
        <f>SUM(C27:C33)</f>
        <v>495</v>
      </c>
      <c r="D26" s="239">
        <f>SUM(D27:D33)</f>
        <v>1358</v>
      </c>
      <c r="E26" s="229">
        <f>IF(SUM(E27:E33)=0,"..",SUM(E27:E33))</f>
        <v>1853</v>
      </c>
    </row>
    <row r="27" spans="1:7" ht="24" customHeight="1">
      <c r="A27" s="351" t="s">
        <v>555</v>
      </c>
      <c r="B27" s="169">
        <v>3008</v>
      </c>
      <c r="C27" s="169">
        <v>49</v>
      </c>
      <c r="D27" s="232">
        <v>26</v>
      </c>
      <c r="E27" s="52">
        <f t="shared" ref="E27:E33" si="1">SUM(C27:D27)</f>
        <v>75</v>
      </c>
    </row>
    <row r="28" spans="1:7" ht="24" customHeight="1">
      <c r="A28" s="351" t="s">
        <v>557</v>
      </c>
      <c r="B28" s="169">
        <v>2717</v>
      </c>
      <c r="C28" s="169">
        <v>72</v>
      </c>
      <c r="D28" s="232">
        <v>91</v>
      </c>
      <c r="E28" s="52">
        <f t="shared" si="1"/>
        <v>163</v>
      </c>
    </row>
    <row r="29" spans="1:7" ht="24" customHeight="1">
      <c r="A29" s="351" t="s">
        <v>560</v>
      </c>
      <c r="B29" s="376">
        <v>4784</v>
      </c>
      <c r="C29" s="376">
        <v>130</v>
      </c>
      <c r="D29" s="232">
        <v>547</v>
      </c>
      <c r="E29" s="52">
        <f t="shared" si="1"/>
        <v>677</v>
      </c>
    </row>
    <row r="30" spans="1:7" ht="24" customHeight="1">
      <c r="A30" s="351" t="s">
        <v>566</v>
      </c>
      <c r="B30" s="169">
        <v>3051</v>
      </c>
      <c r="C30" s="169">
        <v>54</v>
      </c>
      <c r="D30" s="232">
        <v>86</v>
      </c>
      <c r="E30" s="52">
        <f t="shared" si="1"/>
        <v>140</v>
      </c>
    </row>
    <row r="31" spans="1:7" ht="24" customHeight="1">
      <c r="A31" s="351" t="s">
        <v>567</v>
      </c>
      <c r="B31" s="169">
        <v>1491</v>
      </c>
      <c r="C31" s="169">
        <v>34</v>
      </c>
      <c r="D31" s="232">
        <v>16</v>
      </c>
      <c r="E31" s="52">
        <f t="shared" si="1"/>
        <v>50</v>
      </c>
    </row>
    <row r="32" spans="1:7" ht="24" customHeight="1">
      <c r="A32" s="351" t="s">
        <v>1132</v>
      </c>
      <c r="B32" s="169">
        <v>5714</v>
      </c>
      <c r="C32" s="169">
        <v>91</v>
      </c>
      <c r="D32" s="232">
        <v>540</v>
      </c>
      <c r="E32" s="52">
        <f t="shared" si="1"/>
        <v>631</v>
      </c>
    </row>
    <row r="33" spans="1:5" ht="24" customHeight="1">
      <c r="A33" s="354" t="s">
        <v>569</v>
      </c>
      <c r="B33" s="235">
        <v>1912</v>
      </c>
      <c r="C33" s="44">
        <v>65</v>
      </c>
      <c r="D33" s="235">
        <v>52</v>
      </c>
      <c r="E33" s="155">
        <f t="shared" si="1"/>
        <v>117</v>
      </c>
    </row>
    <row r="34" spans="1:5" ht="14.25" customHeight="1">
      <c r="C34" s="886" t="s">
        <v>80</v>
      </c>
      <c r="D34" s="947" t="s">
        <v>1015</v>
      </c>
      <c r="E34" s="878"/>
    </row>
    <row r="35" spans="1:5" ht="28.5" customHeight="1">
      <c r="C35" s="910" t="s">
        <v>81</v>
      </c>
      <c r="D35" s="1341" t="s">
        <v>381</v>
      </c>
      <c r="E35" s="1488"/>
    </row>
  </sheetData>
  <mergeCells count="7">
    <mergeCell ref="D35:E35"/>
    <mergeCell ref="A1:E1"/>
    <mergeCell ref="A2:E2"/>
    <mergeCell ref="C4:E4"/>
    <mergeCell ref="B12:E12"/>
    <mergeCell ref="A4:A5"/>
    <mergeCell ref="B4:B5"/>
  </mergeCells>
  <phoneticPr fontId="0" type="noConversion"/>
  <printOptions horizontalCentered="1" verticalCentered="1"/>
  <pageMargins left="0.1" right="0.1" top="0.1" bottom="0.1" header="0.5" footer="0.1"/>
  <pageSetup paperSize="9" orientation="portrait" blackAndWhite="1" r:id="rId1"/>
  <headerFooter alignWithMargins="0"/>
</worksheet>
</file>

<file path=xl/worksheets/sheet26.xml><?xml version="1.0" encoding="utf-8"?>
<worksheet xmlns="http://schemas.openxmlformats.org/spreadsheetml/2006/main" xmlns:r="http://schemas.openxmlformats.org/officeDocument/2006/relationships">
  <sheetPr codeName="Sheet26"/>
  <dimension ref="A1:K44"/>
  <sheetViews>
    <sheetView topLeftCell="A13" workbookViewId="0">
      <selection activeCell="G16" sqref="G16"/>
    </sheetView>
  </sheetViews>
  <sheetFormatPr defaultRowHeight="12.75"/>
  <cols>
    <col min="1" max="1" width="2.42578125" customWidth="1"/>
    <col min="2" max="2" width="2.85546875" customWidth="1"/>
    <col min="3" max="3" width="1.42578125" customWidth="1"/>
    <col min="4" max="4" width="60.7109375" customWidth="1"/>
    <col min="5" max="9" width="13.7109375" customWidth="1"/>
  </cols>
  <sheetData>
    <row r="1" spans="1:11" ht="15.75" customHeight="1">
      <c r="A1" s="1393" t="s">
        <v>412</v>
      </c>
      <c r="B1" s="1393"/>
      <c r="C1" s="1393"/>
      <c r="D1" s="1393"/>
      <c r="E1" s="1393"/>
      <c r="F1" s="1393"/>
      <c r="G1" s="1393"/>
      <c r="H1" s="1393"/>
      <c r="I1" s="1393"/>
    </row>
    <row r="2" spans="1:11" ht="18" customHeight="1">
      <c r="A2" s="1494" t="str">
        <f>CONCATENATE("General Educational Institutions by type in the district of ",District!A1)</f>
        <v>General Educational Institutions by type in the district of Jalpaiguri</v>
      </c>
      <c r="B2" s="1494"/>
      <c r="C2" s="1494"/>
      <c r="D2" s="1494"/>
      <c r="E2" s="1494"/>
      <c r="F2" s="1494"/>
      <c r="G2" s="1494"/>
      <c r="H2" s="1494"/>
      <c r="I2" s="1494"/>
    </row>
    <row r="3" spans="1:11" ht="13.5" customHeight="1">
      <c r="B3" s="340"/>
      <c r="C3" s="4"/>
      <c r="D3" s="4"/>
      <c r="E3" s="4"/>
      <c r="F3" s="4"/>
      <c r="G3" s="4"/>
      <c r="H3" s="4"/>
      <c r="I3" s="1048" t="s">
        <v>312</v>
      </c>
    </row>
    <row r="4" spans="1:11" ht="12.75" customHeight="1">
      <c r="A4" s="1293" t="s">
        <v>882</v>
      </c>
      <c r="B4" s="1502"/>
      <c r="C4" s="1502"/>
      <c r="D4" s="1294"/>
      <c r="E4" s="1506" t="s">
        <v>98</v>
      </c>
      <c r="F4" s="1507"/>
      <c r="G4" s="1507"/>
      <c r="H4" s="1507"/>
      <c r="I4" s="1508"/>
    </row>
    <row r="5" spans="1:11">
      <c r="A5" s="1503"/>
      <c r="B5" s="1504"/>
      <c r="C5" s="1504"/>
      <c r="D5" s="1505"/>
      <c r="E5" s="172" t="s">
        <v>1110</v>
      </c>
      <c r="F5" s="172" t="s">
        <v>1111</v>
      </c>
      <c r="G5" s="172" t="s">
        <v>641</v>
      </c>
      <c r="H5" s="172" t="s">
        <v>909</v>
      </c>
      <c r="I5" s="172" t="s">
        <v>895</v>
      </c>
    </row>
    <row r="6" spans="1:11">
      <c r="A6" s="1499" t="s">
        <v>278</v>
      </c>
      <c r="B6" s="1500"/>
      <c r="C6" s="1500"/>
      <c r="D6" s="1501"/>
      <c r="E6" s="134" t="s">
        <v>279</v>
      </c>
      <c r="F6" s="463" t="s">
        <v>280</v>
      </c>
      <c r="G6" s="85" t="s">
        <v>281</v>
      </c>
      <c r="H6" s="463" t="s">
        <v>282</v>
      </c>
      <c r="I6" s="135" t="s">
        <v>283</v>
      </c>
    </row>
    <row r="7" spans="1:11" ht="12.95" customHeight="1">
      <c r="A7" s="118">
        <v>1</v>
      </c>
      <c r="B7" s="1495" t="s">
        <v>1558</v>
      </c>
      <c r="C7" s="1495"/>
      <c r="D7" s="1496"/>
      <c r="E7" s="75">
        <f>SUM(E8,E13,E18,E23)</f>
        <v>2414</v>
      </c>
      <c r="F7" s="75">
        <f>SUM(F8,F13,F18,F23)</f>
        <v>2446</v>
      </c>
      <c r="G7" s="75">
        <f>SUM(G8,G13,G18,G23)</f>
        <v>2450</v>
      </c>
      <c r="H7" s="75">
        <f>SUM(H8,H13,H18,H23)</f>
        <v>2466</v>
      </c>
      <c r="I7" s="75">
        <f>SUM(I8,I13,I18,I23)</f>
        <v>2495</v>
      </c>
    </row>
    <row r="8" spans="1:11" ht="12.95" customHeight="1">
      <c r="A8" s="764"/>
      <c r="B8" s="150" t="s">
        <v>598</v>
      </c>
      <c r="C8" s="1509" t="s">
        <v>1025</v>
      </c>
      <c r="D8" s="1510"/>
      <c r="E8" s="117">
        <f>SUM(E9:E12)</f>
        <v>2042</v>
      </c>
      <c r="F8" s="117">
        <f>SUM(F9:F12)</f>
        <v>2035</v>
      </c>
      <c r="G8" s="117">
        <f>SUM(G9:G12)</f>
        <v>2035</v>
      </c>
      <c r="H8" s="117">
        <f>SUM(H9:H12)</f>
        <v>2035</v>
      </c>
      <c r="I8" s="117">
        <f>SUM(I9:I12)</f>
        <v>2035</v>
      </c>
    </row>
    <row r="9" spans="1:11" ht="12.95" customHeight="1">
      <c r="A9" s="764"/>
      <c r="B9" s="7"/>
      <c r="C9" s="7"/>
      <c r="D9" s="82" t="s">
        <v>593</v>
      </c>
      <c r="E9" s="41">
        <v>2036</v>
      </c>
      <c r="F9" s="41">
        <v>2029</v>
      </c>
      <c r="G9" s="41">
        <v>2029</v>
      </c>
      <c r="H9" s="41">
        <v>2029</v>
      </c>
      <c r="I9" s="41">
        <v>2029</v>
      </c>
      <c r="J9" s="823"/>
      <c r="K9" s="7"/>
    </row>
    <row r="10" spans="1:11" ht="12.95" customHeight="1">
      <c r="A10" s="764"/>
      <c r="B10" s="7"/>
      <c r="C10" s="7"/>
      <c r="D10" s="82" t="s">
        <v>594</v>
      </c>
      <c r="E10" s="41">
        <v>6</v>
      </c>
      <c r="F10" s="41">
        <v>6</v>
      </c>
      <c r="G10" s="41">
        <v>6</v>
      </c>
      <c r="H10" s="41">
        <v>6</v>
      </c>
      <c r="I10" s="41">
        <v>6</v>
      </c>
    </row>
    <row r="11" spans="1:11" ht="12.95" customHeight="1">
      <c r="A11" s="764"/>
      <c r="B11" s="7"/>
      <c r="C11" s="7"/>
      <c r="D11" s="82" t="s">
        <v>595</v>
      </c>
      <c r="E11" s="464" t="s">
        <v>570</v>
      </c>
      <c r="F11" s="464" t="s">
        <v>570</v>
      </c>
      <c r="G11" s="464" t="s">
        <v>570</v>
      </c>
      <c r="H11" s="464" t="s">
        <v>570</v>
      </c>
      <c r="I11" s="464" t="s">
        <v>570</v>
      </c>
    </row>
    <row r="12" spans="1:11" ht="12.95" customHeight="1">
      <c r="A12" s="764"/>
      <c r="B12" s="7"/>
      <c r="C12" s="7"/>
      <c r="D12" s="82" t="s">
        <v>253</v>
      </c>
      <c r="E12" s="464" t="s">
        <v>570</v>
      </c>
      <c r="F12" s="464" t="s">
        <v>570</v>
      </c>
      <c r="G12" s="464" t="s">
        <v>570</v>
      </c>
      <c r="H12" s="464" t="s">
        <v>570</v>
      </c>
      <c r="I12" s="464" t="s">
        <v>570</v>
      </c>
    </row>
    <row r="13" spans="1:11" ht="12.95" customHeight="1">
      <c r="A13" s="764"/>
      <c r="B13" s="150" t="s">
        <v>596</v>
      </c>
      <c r="C13" s="1511" t="s">
        <v>1026</v>
      </c>
      <c r="D13" s="1512"/>
      <c r="E13" s="117">
        <f>SUM(E14:E17)</f>
        <v>37</v>
      </c>
      <c r="F13" s="117">
        <f>SUM(F14:F17)</f>
        <v>74</v>
      </c>
      <c r="G13" s="117">
        <f>SUM(G14:G17)</f>
        <v>77</v>
      </c>
      <c r="H13" s="117">
        <f>SUM(H14:H17)</f>
        <v>93</v>
      </c>
      <c r="I13" s="117">
        <f>SUM(I14:I17)</f>
        <v>122</v>
      </c>
    </row>
    <row r="14" spans="1:11" ht="12.95" customHeight="1">
      <c r="A14" s="764"/>
      <c r="B14" s="7"/>
      <c r="C14" s="7"/>
      <c r="D14" s="82" t="s">
        <v>711</v>
      </c>
      <c r="E14" s="41">
        <v>32</v>
      </c>
      <c r="F14" s="41">
        <v>69</v>
      </c>
      <c r="G14" s="41">
        <v>69</v>
      </c>
      <c r="H14" s="41">
        <v>85</v>
      </c>
      <c r="I14" s="41">
        <v>111</v>
      </c>
    </row>
    <row r="15" spans="1:11" ht="12.95" customHeight="1">
      <c r="A15" s="764"/>
      <c r="B15" s="7"/>
      <c r="C15" s="7"/>
      <c r="D15" s="82" t="s">
        <v>712</v>
      </c>
      <c r="E15" s="41" t="s">
        <v>570</v>
      </c>
      <c r="F15" s="41" t="s">
        <v>570</v>
      </c>
      <c r="G15" s="41">
        <v>3</v>
      </c>
      <c r="H15" s="41">
        <v>3</v>
      </c>
      <c r="I15" s="41">
        <v>5</v>
      </c>
    </row>
    <row r="16" spans="1:11" ht="12.95" customHeight="1">
      <c r="A16" s="764"/>
      <c r="B16" s="7"/>
      <c r="C16" s="7"/>
      <c r="D16" s="82" t="s">
        <v>595</v>
      </c>
      <c r="E16" s="41">
        <v>5</v>
      </c>
      <c r="F16" s="41">
        <v>5</v>
      </c>
      <c r="G16" s="41">
        <v>5</v>
      </c>
      <c r="H16" s="41">
        <v>5</v>
      </c>
      <c r="I16" s="41">
        <v>6</v>
      </c>
    </row>
    <row r="17" spans="1:9" ht="12.95" customHeight="1">
      <c r="A17" s="764"/>
      <c r="B17" s="7"/>
      <c r="C17" s="7"/>
      <c r="D17" s="82" t="s">
        <v>253</v>
      </c>
      <c r="E17" s="465" t="s">
        <v>570</v>
      </c>
      <c r="F17" s="465" t="s">
        <v>570</v>
      </c>
      <c r="G17" s="465" t="s">
        <v>570</v>
      </c>
      <c r="H17" s="465" t="s">
        <v>570</v>
      </c>
      <c r="I17" s="465" t="s">
        <v>570</v>
      </c>
    </row>
    <row r="18" spans="1:9" ht="12.95" customHeight="1">
      <c r="A18" s="764"/>
      <c r="B18" s="112" t="s">
        <v>597</v>
      </c>
      <c r="C18" s="1509" t="s">
        <v>1027</v>
      </c>
      <c r="D18" s="1510"/>
      <c r="E18" s="117">
        <f>SUM(E19:E22)</f>
        <v>170</v>
      </c>
      <c r="F18" s="117">
        <f>SUM(F19:F22)</f>
        <v>160</v>
      </c>
      <c r="G18" s="117">
        <f>SUM(G19:G22)</f>
        <v>144</v>
      </c>
      <c r="H18" s="117">
        <f>SUM(H19:H22)</f>
        <v>133</v>
      </c>
      <c r="I18" s="117">
        <f>SUM(I19:I22)</f>
        <v>98</v>
      </c>
    </row>
    <row r="19" spans="1:9" ht="12.95" customHeight="1">
      <c r="A19" s="764"/>
      <c r="B19" s="7"/>
      <c r="C19" s="7"/>
      <c r="D19" s="82" t="s">
        <v>711</v>
      </c>
      <c r="E19" s="39">
        <v>145</v>
      </c>
      <c r="F19" s="39">
        <v>135</v>
      </c>
      <c r="G19" s="39">
        <v>121</v>
      </c>
      <c r="H19" s="39">
        <v>110</v>
      </c>
      <c r="I19" s="39">
        <v>78</v>
      </c>
    </row>
    <row r="20" spans="1:9" ht="12.95" customHeight="1">
      <c r="A20" s="764"/>
      <c r="B20" s="7"/>
      <c r="C20" s="7"/>
      <c r="D20" s="82" t="s">
        <v>713</v>
      </c>
      <c r="E20" s="39">
        <v>4</v>
      </c>
      <c r="F20" s="39">
        <v>4</v>
      </c>
      <c r="G20" s="39">
        <v>2</v>
      </c>
      <c r="H20" s="39">
        <v>2</v>
      </c>
      <c r="I20" s="39">
        <v>2</v>
      </c>
    </row>
    <row r="21" spans="1:9" ht="12.95" customHeight="1">
      <c r="A21" s="764"/>
      <c r="B21" s="7"/>
      <c r="C21" s="7"/>
      <c r="D21" s="82" t="s">
        <v>595</v>
      </c>
      <c r="E21" s="39">
        <v>19</v>
      </c>
      <c r="F21" s="39">
        <v>19</v>
      </c>
      <c r="G21" s="39">
        <v>20</v>
      </c>
      <c r="H21" s="39">
        <v>20</v>
      </c>
      <c r="I21" s="39">
        <v>17</v>
      </c>
    </row>
    <row r="22" spans="1:9" ht="12.95" customHeight="1">
      <c r="A22" s="764"/>
      <c r="B22" s="7"/>
      <c r="C22" s="7"/>
      <c r="D22" s="82" t="s">
        <v>253</v>
      </c>
      <c r="E22" s="39">
        <v>2</v>
      </c>
      <c r="F22" s="39">
        <v>2</v>
      </c>
      <c r="G22" s="39">
        <v>1</v>
      </c>
      <c r="H22" s="39">
        <v>1</v>
      </c>
      <c r="I22" s="39">
        <v>1</v>
      </c>
    </row>
    <row r="23" spans="1:9" ht="27.75" customHeight="1">
      <c r="A23" s="764"/>
      <c r="B23" s="112" t="s">
        <v>599</v>
      </c>
      <c r="C23" s="1509" t="s">
        <v>1033</v>
      </c>
      <c r="D23" s="1510"/>
      <c r="E23" s="788">
        <f>SUM(E24:E28)</f>
        <v>165</v>
      </c>
      <c r="F23" s="788">
        <f>SUM(F24:F28)</f>
        <v>177</v>
      </c>
      <c r="G23" s="788">
        <f>SUM(G24:G28)</f>
        <v>194</v>
      </c>
      <c r="H23" s="788">
        <f>SUM(H24:H28)</f>
        <v>205</v>
      </c>
      <c r="I23" s="788">
        <f>SUM(I24:I28)</f>
        <v>240</v>
      </c>
    </row>
    <row r="24" spans="1:9" ht="12.95" customHeight="1">
      <c r="A24" s="764"/>
      <c r="B24" s="7"/>
      <c r="C24" s="7"/>
      <c r="D24" s="82" t="s">
        <v>1223</v>
      </c>
      <c r="E24" s="39">
        <v>147</v>
      </c>
      <c r="F24" s="39">
        <v>159</v>
      </c>
      <c r="G24" s="39">
        <v>173</v>
      </c>
      <c r="H24" s="39">
        <v>184</v>
      </c>
      <c r="I24" s="39">
        <v>216</v>
      </c>
    </row>
    <row r="25" spans="1:9" ht="12.95" customHeight="1">
      <c r="A25" s="764"/>
      <c r="B25" s="7"/>
      <c r="C25" s="7"/>
      <c r="D25" s="82" t="s">
        <v>1224</v>
      </c>
      <c r="E25" s="39">
        <v>2</v>
      </c>
      <c r="F25" s="39">
        <v>2</v>
      </c>
      <c r="G25" s="39">
        <v>2</v>
      </c>
      <c r="H25" s="39">
        <v>2</v>
      </c>
      <c r="I25" s="39">
        <v>2</v>
      </c>
    </row>
    <row r="26" spans="1:9" ht="12.95" customHeight="1">
      <c r="A26" s="764"/>
      <c r="B26" s="7"/>
      <c r="C26" s="7"/>
      <c r="D26" s="82" t="s">
        <v>595</v>
      </c>
      <c r="E26" s="39">
        <v>12</v>
      </c>
      <c r="F26" s="39">
        <v>12</v>
      </c>
      <c r="G26" s="39">
        <v>12</v>
      </c>
      <c r="H26" s="39">
        <v>12</v>
      </c>
      <c r="I26" s="39">
        <v>15</v>
      </c>
    </row>
    <row r="27" spans="1:9" ht="12.95" customHeight="1">
      <c r="A27" s="764"/>
      <c r="B27" s="7"/>
      <c r="C27" s="7"/>
      <c r="D27" s="82" t="s">
        <v>253</v>
      </c>
      <c r="E27" s="139" t="s">
        <v>570</v>
      </c>
      <c r="F27" s="139" t="s">
        <v>570</v>
      </c>
      <c r="G27" s="139">
        <v>1</v>
      </c>
      <c r="H27" s="139">
        <v>1</v>
      </c>
      <c r="I27" s="139">
        <v>1</v>
      </c>
    </row>
    <row r="28" spans="1:9" ht="12.95" customHeight="1">
      <c r="A28" s="764"/>
      <c r="B28" s="7"/>
      <c r="C28" s="7"/>
      <c r="D28" s="82" t="s">
        <v>603</v>
      </c>
      <c r="E28" s="39">
        <v>4</v>
      </c>
      <c r="F28" s="39">
        <v>4</v>
      </c>
      <c r="G28" s="39">
        <v>6</v>
      </c>
      <c r="H28" s="39">
        <v>6</v>
      </c>
      <c r="I28" s="39">
        <v>6</v>
      </c>
    </row>
    <row r="29" spans="1:9" ht="12.95" customHeight="1">
      <c r="A29" s="119">
        <v>2</v>
      </c>
      <c r="B29" s="86" t="s">
        <v>1559</v>
      </c>
      <c r="C29" s="86"/>
      <c r="D29" s="136"/>
      <c r="E29" s="84">
        <v>15</v>
      </c>
      <c r="F29" s="84">
        <v>15</v>
      </c>
      <c r="G29" s="84">
        <v>15</v>
      </c>
      <c r="H29" s="84">
        <v>15</v>
      </c>
      <c r="I29" s="84">
        <v>16</v>
      </c>
    </row>
    <row r="30" spans="1:9" ht="27.75" customHeight="1">
      <c r="A30" s="765">
        <v>3</v>
      </c>
      <c r="B30" s="1509" t="s">
        <v>1494</v>
      </c>
      <c r="C30" s="1513"/>
      <c r="D30" s="1514"/>
      <c r="E30" s="790" t="s">
        <v>570</v>
      </c>
      <c r="F30" s="790" t="s">
        <v>570</v>
      </c>
      <c r="G30" s="790" t="s">
        <v>570</v>
      </c>
      <c r="H30" s="790" t="s">
        <v>570</v>
      </c>
      <c r="I30" s="790" t="s">
        <v>570</v>
      </c>
    </row>
    <row r="31" spans="1:9" ht="12.95" customHeight="1">
      <c r="A31" s="766">
        <v>4</v>
      </c>
      <c r="B31" s="1497" t="s">
        <v>0</v>
      </c>
      <c r="C31" s="1497"/>
      <c r="D31" s="1498"/>
      <c r="E31" s="466">
        <v>2</v>
      </c>
      <c r="F31" s="466">
        <v>2</v>
      </c>
      <c r="G31" s="466">
        <v>2</v>
      </c>
      <c r="H31" s="466">
        <v>2</v>
      </c>
      <c r="I31" s="466">
        <v>3</v>
      </c>
    </row>
    <row r="32" spans="1:9">
      <c r="A32" s="36"/>
      <c r="B32" s="36"/>
      <c r="C32" s="36"/>
      <c r="D32" s="36"/>
      <c r="E32" s="905" t="s">
        <v>573</v>
      </c>
      <c r="F32" s="908" t="s">
        <v>649</v>
      </c>
      <c r="G32" s="908"/>
      <c r="H32" s="908"/>
      <c r="I32" s="908"/>
    </row>
    <row r="33" spans="1:9">
      <c r="A33" s="36"/>
      <c r="B33" s="36"/>
      <c r="C33" s="36"/>
      <c r="D33" s="36"/>
      <c r="E33" s="908"/>
      <c r="F33" s="908" t="s">
        <v>650</v>
      </c>
      <c r="G33" s="908"/>
      <c r="H33" s="908"/>
      <c r="I33" s="908"/>
    </row>
    <row r="34" spans="1:9">
      <c r="A34" s="36"/>
      <c r="B34" s="36"/>
      <c r="C34" s="36"/>
      <c r="D34" s="36"/>
      <c r="E34" s="908"/>
      <c r="F34" s="911" t="s">
        <v>647</v>
      </c>
      <c r="G34" s="911"/>
      <c r="H34" s="911"/>
      <c r="I34" s="911"/>
    </row>
    <row r="35" spans="1:9">
      <c r="A35" s="36"/>
      <c r="B35" s="36"/>
      <c r="C35" s="36"/>
      <c r="D35" s="36"/>
      <c r="E35" s="908"/>
      <c r="F35" s="911" t="s">
        <v>838</v>
      </c>
      <c r="G35" s="911"/>
      <c r="H35" s="911"/>
      <c r="I35" s="911"/>
    </row>
    <row r="36" spans="1:9">
      <c r="A36" s="36"/>
      <c r="B36" s="36"/>
      <c r="C36" s="36"/>
      <c r="D36" s="36"/>
      <c r="E36" s="908"/>
      <c r="F36" s="908" t="s">
        <v>601</v>
      </c>
      <c r="G36" s="908"/>
      <c r="H36" s="908"/>
      <c r="I36" s="908"/>
    </row>
    <row r="37" spans="1:9">
      <c r="A37" s="36"/>
      <c r="B37" s="36"/>
      <c r="C37" s="36"/>
      <c r="D37" s="36"/>
      <c r="E37" s="908"/>
      <c r="F37" s="908" t="s">
        <v>602</v>
      </c>
      <c r="G37" s="908"/>
      <c r="H37" s="908"/>
      <c r="I37" s="908"/>
    </row>
    <row r="38" spans="1:9">
      <c r="A38" s="36"/>
      <c r="B38" s="36"/>
      <c r="C38" s="36"/>
      <c r="D38" s="36"/>
      <c r="E38" s="908"/>
      <c r="F38" s="908" t="s">
        <v>648</v>
      </c>
      <c r="G38" s="908"/>
      <c r="H38" s="908"/>
      <c r="I38" s="908"/>
    </row>
    <row r="39" spans="1:9">
      <c r="A39" s="36"/>
      <c r="B39" s="36"/>
      <c r="C39" s="36"/>
      <c r="D39" s="36"/>
      <c r="E39" s="66"/>
    </row>
    <row r="40" spans="1:9">
      <c r="A40" s="36"/>
      <c r="B40" s="36"/>
      <c r="C40" s="36"/>
      <c r="D40" s="36"/>
      <c r="E40" s="36"/>
      <c r="F40" s="36"/>
      <c r="G40" s="36"/>
      <c r="H40" s="36"/>
      <c r="I40" s="36"/>
    </row>
    <row r="41" spans="1:9">
      <c r="A41" s="36"/>
      <c r="B41" s="36"/>
      <c r="C41" s="36"/>
      <c r="D41" s="36"/>
      <c r="E41" s="36"/>
      <c r="F41" s="36"/>
      <c r="G41" s="36"/>
      <c r="H41" s="36"/>
      <c r="I41" s="36"/>
    </row>
    <row r="42" spans="1:9">
      <c r="A42" s="36"/>
      <c r="B42" s="36"/>
      <c r="C42" s="36"/>
      <c r="D42" s="36"/>
      <c r="E42" s="36"/>
      <c r="F42" s="36"/>
      <c r="G42" s="36"/>
      <c r="H42" s="36"/>
      <c r="I42" s="36"/>
    </row>
    <row r="43" spans="1:9">
      <c r="A43" s="36"/>
      <c r="B43" s="36"/>
      <c r="C43" s="36"/>
      <c r="D43" s="36"/>
      <c r="E43" s="36"/>
      <c r="F43" s="36"/>
      <c r="G43" s="36"/>
      <c r="H43" s="36"/>
      <c r="I43" s="36"/>
    </row>
    <row r="44" spans="1:9">
      <c r="A44" s="36"/>
      <c r="B44" s="36"/>
      <c r="C44" s="36"/>
      <c r="D44" s="36"/>
      <c r="E44" s="36"/>
      <c r="F44" s="36"/>
      <c r="G44" s="36"/>
      <c r="H44" s="36"/>
      <c r="I44" s="36"/>
    </row>
  </sheetData>
  <mergeCells count="12">
    <mergeCell ref="A1:I1"/>
    <mergeCell ref="A2:I2"/>
    <mergeCell ref="B7:D7"/>
    <mergeCell ref="B31:D31"/>
    <mergeCell ref="A6:D6"/>
    <mergeCell ref="A4:D5"/>
    <mergeCell ref="E4:I4"/>
    <mergeCell ref="C8:D8"/>
    <mergeCell ref="C13:D13"/>
    <mergeCell ref="C18:D18"/>
    <mergeCell ref="C23:D23"/>
    <mergeCell ref="B30:D30"/>
  </mergeCells>
  <phoneticPr fontId="0" type="noConversion"/>
  <printOptions horizontalCentered="1"/>
  <pageMargins left="0.1" right="0.1" top="0.47" bottom="0.1" header="0.43" footer="0.1"/>
  <pageSetup paperSize="9" orientation="landscape" blackAndWhite="1" r:id="rId1"/>
  <headerFooter alignWithMargins="0"/>
</worksheet>
</file>

<file path=xl/worksheets/sheet27.xml><?xml version="1.0" encoding="utf-8"?>
<worksheet xmlns="http://schemas.openxmlformats.org/spreadsheetml/2006/main" xmlns:r="http://schemas.openxmlformats.org/officeDocument/2006/relationships">
  <sheetPr codeName="Sheet27"/>
  <dimension ref="A1:I42"/>
  <sheetViews>
    <sheetView topLeftCell="A22" workbookViewId="0">
      <selection activeCell="G16" sqref="G16"/>
    </sheetView>
  </sheetViews>
  <sheetFormatPr defaultRowHeight="12.75"/>
  <cols>
    <col min="1" max="1" width="1.85546875" customWidth="1"/>
    <col min="2" max="2" width="2.85546875" customWidth="1"/>
    <col min="3" max="3" width="1.42578125" customWidth="1"/>
    <col min="4" max="4" width="55.140625" customWidth="1"/>
    <col min="5" max="9" width="13.7109375" customWidth="1"/>
  </cols>
  <sheetData>
    <row r="1" spans="1:9" s="2" customFormat="1" ht="12" customHeight="1">
      <c r="A1" s="1524" t="s">
        <v>413</v>
      </c>
      <c r="B1" s="1524"/>
      <c r="C1" s="1524"/>
      <c r="D1" s="1524"/>
      <c r="E1" s="1524"/>
      <c r="F1" s="1524"/>
      <c r="G1" s="1524"/>
      <c r="H1" s="1524"/>
      <c r="I1" s="1524"/>
    </row>
    <row r="2" spans="1:9" s="2" customFormat="1" ht="14.25" customHeight="1">
      <c r="A2" s="1353" t="str">
        <f>CONCATENATE("Professional &amp; Technical Educational Institutions by type in the district of ",District!A1)</f>
        <v>Professional &amp; Technical Educational Institutions by type in the district of Jalpaiguri</v>
      </c>
      <c r="B2" s="1353"/>
      <c r="C2" s="1353"/>
      <c r="D2" s="1353"/>
      <c r="E2" s="1353"/>
      <c r="F2" s="1353"/>
      <c r="G2" s="1353"/>
      <c r="H2" s="1353"/>
      <c r="I2" s="1353"/>
    </row>
    <row r="3" spans="1:9" ht="12" customHeight="1">
      <c r="A3" s="359"/>
      <c r="B3" s="359"/>
      <c r="C3" s="359"/>
      <c r="D3" s="359"/>
      <c r="E3" s="359"/>
      <c r="F3" s="359"/>
      <c r="G3" s="359"/>
      <c r="H3" s="359"/>
      <c r="I3" s="691" t="s">
        <v>312</v>
      </c>
    </row>
    <row r="4" spans="1:9" ht="15" customHeight="1">
      <c r="A4" s="1293" t="s">
        <v>882</v>
      </c>
      <c r="B4" s="1502"/>
      <c r="C4" s="1502"/>
      <c r="D4" s="1294"/>
      <c r="E4" s="1445" t="s">
        <v>98</v>
      </c>
      <c r="F4" s="1444"/>
      <c r="G4" s="1444"/>
      <c r="H4" s="1444"/>
      <c r="I4" s="1446"/>
    </row>
    <row r="5" spans="1:9" ht="15" customHeight="1">
      <c r="A5" s="1503"/>
      <c r="B5" s="1504"/>
      <c r="C5" s="1504"/>
      <c r="D5" s="1505"/>
      <c r="E5" s="172" t="s">
        <v>1110</v>
      </c>
      <c r="F5" s="172" t="s">
        <v>1111</v>
      </c>
      <c r="G5" s="172" t="s">
        <v>641</v>
      </c>
      <c r="H5" s="172" t="s">
        <v>909</v>
      </c>
      <c r="I5" s="172" t="s">
        <v>895</v>
      </c>
    </row>
    <row r="6" spans="1:9" ht="15" customHeight="1">
      <c r="A6" s="1385" t="s">
        <v>278</v>
      </c>
      <c r="B6" s="1424"/>
      <c r="C6" s="1424"/>
      <c r="D6" s="1386"/>
      <c r="E6" s="92" t="s">
        <v>279</v>
      </c>
      <c r="F6" s="57" t="s">
        <v>280</v>
      </c>
      <c r="G6" s="87" t="s">
        <v>281</v>
      </c>
      <c r="H6" s="57" t="s">
        <v>282</v>
      </c>
      <c r="I6" s="58" t="s">
        <v>283</v>
      </c>
    </row>
    <row r="7" spans="1:9" ht="13.5" customHeight="1">
      <c r="A7" s="785">
        <v>1</v>
      </c>
      <c r="B7" s="1525" t="s">
        <v>1465</v>
      </c>
      <c r="C7" s="1525"/>
      <c r="D7" s="1526"/>
      <c r="E7" s="229">
        <f>SUM(E8,E13,E16)</f>
        <v>42</v>
      </c>
      <c r="F7" s="229">
        <f>SUM(F8,F13,F16)</f>
        <v>42</v>
      </c>
      <c r="G7" s="229">
        <f>SUM(G8,G13,G16)</f>
        <v>43</v>
      </c>
      <c r="H7" s="229">
        <f>SUM(H8,H13,H16)</f>
        <v>43</v>
      </c>
      <c r="I7" s="229">
        <f>SUM(I8,I13,I16)</f>
        <v>43</v>
      </c>
    </row>
    <row r="8" spans="1:9" ht="13.5" customHeight="1">
      <c r="A8" s="304"/>
      <c r="B8" s="516" t="s">
        <v>598</v>
      </c>
      <c r="C8" s="1518" t="s">
        <v>675</v>
      </c>
      <c r="D8" s="1519"/>
      <c r="E8" s="788">
        <f>SUM(E9:E12)</f>
        <v>4</v>
      </c>
      <c r="F8" s="788">
        <f>SUM(F9:F12)</f>
        <v>4</v>
      </c>
      <c r="G8" s="788">
        <f>SUM(G9:G12)</f>
        <v>4</v>
      </c>
      <c r="H8" s="788">
        <f>SUM(H9:H12)</f>
        <v>4</v>
      </c>
      <c r="I8" s="788">
        <f>SUM(I9:I12)</f>
        <v>4</v>
      </c>
    </row>
    <row r="9" spans="1:9" ht="13.5" customHeight="1">
      <c r="A9" s="304"/>
      <c r="B9" s="516"/>
      <c r="C9" s="516"/>
      <c r="D9" s="514" t="s">
        <v>676</v>
      </c>
      <c r="E9" s="149" t="s">
        <v>570</v>
      </c>
      <c r="F9" s="149" t="s">
        <v>570</v>
      </c>
      <c r="G9" s="149" t="s">
        <v>570</v>
      </c>
      <c r="H9" s="149" t="s">
        <v>570</v>
      </c>
      <c r="I9" s="149" t="s">
        <v>570</v>
      </c>
    </row>
    <row r="10" spans="1:9" ht="13.5" customHeight="1">
      <c r="A10" s="304"/>
      <c r="B10" s="516"/>
      <c r="C10" s="516"/>
      <c r="D10" s="514" t="s">
        <v>259</v>
      </c>
      <c r="E10" s="291" t="s">
        <v>570</v>
      </c>
      <c r="F10" s="291" t="s">
        <v>570</v>
      </c>
      <c r="G10" s="291" t="s">
        <v>570</v>
      </c>
      <c r="H10" s="291" t="s">
        <v>570</v>
      </c>
      <c r="I10" s="291" t="s">
        <v>570</v>
      </c>
    </row>
    <row r="11" spans="1:9" ht="13.5" customHeight="1">
      <c r="A11" s="304"/>
      <c r="B11" s="516"/>
      <c r="C11" s="516"/>
      <c r="D11" s="514" t="s">
        <v>677</v>
      </c>
      <c r="E11" s="149">
        <v>3</v>
      </c>
      <c r="F11" s="149">
        <v>3</v>
      </c>
      <c r="G11" s="149">
        <v>4</v>
      </c>
      <c r="H11" s="149">
        <v>4</v>
      </c>
      <c r="I11" s="149">
        <v>4</v>
      </c>
    </row>
    <row r="12" spans="1:9" ht="13.5" customHeight="1">
      <c r="A12" s="304"/>
      <c r="B12" s="516"/>
      <c r="C12" s="516"/>
      <c r="D12" s="514" t="s">
        <v>1225</v>
      </c>
      <c r="E12" s="291">
        <v>1</v>
      </c>
      <c r="F12" s="291">
        <v>1</v>
      </c>
      <c r="G12" s="291" t="s">
        <v>570</v>
      </c>
      <c r="H12" s="291" t="s">
        <v>570</v>
      </c>
      <c r="I12" s="291" t="s">
        <v>570</v>
      </c>
    </row>
    <row r="13" spans="1:9" ht="13.5" customHeight="1">
      <c r="A13" s="304"/>
      <c r="B13" s="516" t="s">
        <v>596</v>
      </c>
      <c r="C13" s="1518" t="s">
        <v>678</v>
      </c>
      <c r="D13" s="1519"/>
      <c r="E13" s="788">
        <f>SUM(E14:E15)</f>
        <v>3</v>
      </c>
      <c r="F13" s="788">
        <f>SUM(F14:F15)</f>
        <v>3</v>
      </c>
      <c r="G13" s="788">
        <f>SUM(G14:G15)</f>
        <v>4</v>
      </c>
      <c r="H13" s="788">
        <f>SUM(H14:H15)</f>
        <v>4</v>
      </c>
      <c r="I13" s="788">
        <f>SUM(I14:I15)</f>
        <v>4</v>
      </c>
    </row>
    <row r="14" spans="1:9" ht="13.5" customHeight="1">
      <c r="A14" s="304"/>
      <c r="B14" s="516"/>
      <c r="C14" s="516"/>
      <c r="D14" s="789" t="s">
        <v>680</v>
      </c>
      <c r="E14" s="291">
        <v>2</v>
      </c>
      <c r="F14" s="291">
        <v>2</v>
      </c>
      <c r="G14" s="291">
        <v>3</v>
      </c>
      <c r="H14" s="291">
        <v>3</v>
      </c>
      <c r="I14" s="291">
        <v>3</v>
      </c>
    </row>
    <row r="15" spans="1:9" ht="13.5" customHeight="1">
      <c r="A15" s="304"/>
      <c r="B15" s="516"/>
      <c r="C15" s="516"/>
      <c r="D15" s="514" t="s">
        <v>681</v>
      </c>
      <c r="E15" s="291">
        <v>1</v>
      </c>
      <c r="F15" s="291">
        <v>1</v>
      </c>
      <c r="G15" s="291">
        <v>1</v>
      </c>
      <c r="H15" s="291">
        <v>1</v>
      </c>
      <c r="I15" s="291">
        <v>1</v>
      </c>
    </row>
    <row r="16" spans="1:9" ht="27.75" customHeight="1">
      <c r="A16" s="304"/>
      <c r="B16" s="138" t="s">
        <v>597</v>
      </c>
      <c r="C16" s="1520" t="s">
        <v>1231</v>
      </c>
      <c r="D16" s="1521"/>
      <c r="E16" s="790">
        <v>35</v>
      </c>
      <c r="F16" s="790">
        <v>35</v>
      </c>
      <c r="G16" s="790">
        <v>35</v>
      </c>
      <c r="H16" s="790">
        <v>35</v>
      </c>
      <c r="I16" s="790">
        <v>35</v>
      </c>
    </row>
    <row r="17" spans="1:9" ht="13.5" customHeight="1">
      <c r="A17" s="791">
        <v>2</v>
      </c>
      <c r="B17" s="1522" t="s">
        <v>1466</v>
      </c>
      <c r="C17" s="1522"/>
      <c r="D17" s="1523"/>
      <c r="E17" s="211">
        <f>SUM(E18,E25,E28)</f>
        <v>11</v>
      </c>
      <c r="F17" s="211">
        <f>SUM(F18,F25,F28)</f>
        <v>11</v>
      </c>
      <c r="G17" s="211">
        <f>SUM(G18,G25,G28)</f>
        <v>11</v>
      </c>
      <c r="H17" s="211">
        <f>SUM(H18,H25,H28)</f>
        <v>9</v>
      </c>
      <c r="I17" s="211">
        <f>SUM(I18,I25,I28)</f>
        <v>10</v>
      </c>
    </row>
    <row r="18" spans="1:9" ht="13.5" customHeight="1">
      <c r="A18" s="304"/>
      <c r="B18" s="392" t="s">
        <v>598</v>
      </c>
      <c r="C18" s="1518" t="s">
        <v>682</v>
      </c>
      <c r="D18" s="1519"/>
      <c r="E18" s="788">
        <f>SUM(E19:E24)</f>
        <v>5</v>
      </c>
      <c r="F18" s="788">
        <f>SUM(F19:F24)</f>
        <v>5</v>
      </c>
      <c r="G18" s="788">
        <f>SUM(G19:G24)</f>
        <v>5</v>
      </c>
      <c r="H18" s="788">
        <f>SUM(H19:H24)</f>
        <v>5</v>
      </c>
      <c r="I18" s="788">
        <f>SUM(I19:I24)</f>
        <v>5</v>
      </c>
    </row>
    <row r="19" spans="1:9" ht="13.5" customHeight="1">
      <c r="A19" s="304"/>
      <c r="B19" s="392"/>
      <c r="C19" s="392"/>
      <c r="D19" s="792" t="s">
        <v>683</v>
      </c>
      <c r="E19" s="291" t="s">
        <v>570</v>
      </c>
      <c r="F19" s="291" t="s">
        <v>570</v>
      </c>
      <c r="G19" s="291" t="s">
        <v>570</v>
      </c>
      <c r="H19" s="291" t="s">
        <v>570</v>
      </c>
      <c r="I19" s="291" t="s">
        <v>570</v>
      </c>
    </row>
    <row r="20" spans="1:9" ht="13.5" customHeight="1">
      <c r="A20" s="304"/>
      <c r="B20" s="392"/>
      <c r="C20" s="392"/>
      <c r="D20" s="388" t="s">
        <v>684</v>
      </c>
      <c r="E20" s="291">
        <v>1</v>
      </c>
      <c r="F20" s="291">
        <v>1</v>
      </c>
      <c r="G20" s="291">
        <v>1</v>
      </c>
      <c r="H20" s="291">
        <v>1</v>
      </c>
      <c r="I20" s="291">
        <v>1</v>
      </c>
    </row>
    <row r="21" spans="1:9" ht="13.5" customHeight="1">
      <c r="A21" s="304"/>
      <c r="B21" s="392"/>
      <c r="C21" s="392"/>
      <c r="D21" s="388" t="s">
        <v>685</v>
      </c>
      <c r="E21" s="291">
        <v>1</v>
      </c>
      <c r="F21" s="291">
        <v>1</v>
      </c>
      <c r="G21" s="291">
        <v>1</v>
      </c>
      <c r="H21" s="291">
        <v>1</v>
      </c>
      <c r="I21" s="291">
        <v>1</v>
      </c>
    </row>
    <row r="22" spans="1:9" ht="13.5" customHeight="1">
      <c r="A22" s="304"/>
      <c r="B22" s="392"/>
      <c r="C22" s="392"/>
      <c r="D22" s="388" t="s">
        <v>686</v>
      </c>
      <c r="E22" s="291">
        <v>2</v>
      </c>
      <c r="F22" s="291">
        <v>2</v>
      </c>
      <c r="G22" s="291">
        <v>2</v>
      </c>
      <c r="H22" s="291">
        <v>2</v>
      </c>
      <c r="I22" s="291">
        <v>2</v>
      </c>
    </row>
    <row r="23" spans="1:9" ht="13.5" customHeight="1">
      <c r="A23" s="304"/>
      <c r="B23" s="392"/>
      <c r="C23" s="392"/>
      <c r="D23" s="388" t="s">
        <v>687</v>
      </c>
      <c r="E23" s="291">
        <v>1</v>
      </c>
      <c r="F23" s="291">
        <v>1</v>
      </c>
      <c r="G23" s="291">
        <v>1</v>
      </c>
      <c r="H23" s="291">
        <v>1</v>
      </c>
      <c r="I23" s="291">
        <v>1</v>
      </c>
    </row>
    <row r="24" spans="1:9" ht="27" customHeight="1">
      <c r="A24" s="304"/>
      <c r="B24" s="392"/>
      <c r="C24" s="392"/>
      <c r="D24" s="792" t="s">
        <v>26</v>
      </c>
      <c r="E24" s="291" t="s">
        <v>570</v>
      </c>
      <c r="F24" s="291" t="s">
        <v>570</v>
      </c>
      <c r="G24" s="291" t="s">
        <v>570</v>
      </c>
      <c r="H24" s="291" t="s">
        <v>570</v>
      </c>
      <c r="I24" s="291" t="s">
        <v>570</v>
      </c>
    </row>
    <row r="25" spans="1:9" ht="13.5" customHeight="1">
      <c r="A25" s="304"/>
      <c r="B25" s="392" t="s">
        <v>596</v>
      </c>
      <c r="C25" s="1518" t="s">
        <v>688</v>
      </c>
      <c r="D25" s="1519"/>
      <c r="E25" s="788">
        <f>SUM(E26:E27)</f>
        <v>5</v>
      </c>
      <c r="F25" s="788">
        <f>SUM(F26:F27)</f>
        <v>5</v>
      </c>
      <c r="G25" s="788">
        <f>SUM(G26:G27)</f>
        <v>5</v>
      </c>
      <c r="H25" s="788">
        <v>3</v>
      </c>
      <c r="I25" s="788">
        <f>SUM(I26:I27)</f>
        <v>4</v>
      </c>
    </row>
    <row r="26" spans="1:9" ht="13.5" customHeight="1">
      <c r="A26" s="304"/>
      <c r="B26" s="392"/>
      <c r="C26" s="392"/>
      <c r="D26" s="388" t="s">
        <v>689</v>
      </c>
      <c r="E26" s="291">
        <v>5</v>
      </c>
      <c r="F26" s="291">
        <v>5</v>
      </c>
      <c r="G26" s="291">
        <v>5</v>
      </c>
      <c r="H26" s="291" t="s">
        <v>627</v>
      </c>
      <c r="I26" s="291">
        <v>4</v>
      </c>
    </row>
    <row r="27" spans="1:9" ht="13.5" customHeight="1">
      <c r="A27" s="304"/>
      <c r="B27" s="392"/>
      <c r="C27" s="392"/>
      <c r="D27" s="388" t="s">
        <v>690</v>
      </c>
      <c r="E27" s="291" t="s">
        <v>570</v>
      </c>
      <c r="F27" s="291" t="s">
        <v>570</v>
      </c>
      <c r="G27" s="291" t="s">
        <v>570</v>
      </c>
      <c r="H27" s="291" t="s">
        <v>570</v>
      </c>
      <c r="I27" s="291" t="s">
        <v>570</v>
      </c>
    </row>
    <row r="28" spans="1:9" ht="13.5" customHeight="1">
      <c r="A28" s="304"/>
      <c r="B28" s="392" t="s">
        <v>597</v>
      </c>
      <c r="C28" s="1518" t="s">
        <v>1034</v>
      </c>
      <c r="D28" s="1519"/>
      <c r="E28" s="786">
        <f>SUM(E29:E33)</f>
        <v>1</v>
      </c>
      <c r="F28" s="786">
        <f>SUM(F29:F33)</f>
        <v>1</v>
      </c>
      <c r="G28" s="786">
        <f>SUM(G29:G33)</f>
        <v>1</v>
      </c>
      <c r="H28" s="786">
        <f>SUM(H29:H33)</f>
        <v>1</v>
      </c>
      <c r="I28" s="786">
        <f>SUM(I29:I33)</f>
        <v>1</v>
      </c>
    </row>
    <row r="29" spans="1:9" ht="13.5" customHeight="1">
      <c r="A29" s="304"/>
      <c r="B29" s="392"/>
      <c r="C29" s="392"/>
      <c r="D29" s="388" t="s">
        <v>692</v>
      </c>
      <c r="E29" s="291">
        <v>1</v>
      </c>
      <c r="F29" s="291">
        <v>1</v>
      </c>
      <c r="G29" s="291">
        <v>1</v>
      </c>
      <c r="H29" s="291">
        <v>1</v>
      </c>
      <c r="I29" s="291">
        <v>1</v>
      </c>
    </row>
    <row r="30" spans="1:9" ht="13.5" customHeight="1">
      <c r="A30" s="304"/>
      <c r="B30" s="392"/>
      <c r="C30" s="392"/>
      <c r="D30" s="388" t="s">
        <v>693</v>
      </c>
      <c r="E30" s="291" t="s">
        <v>570</v>
      </c>
      <c r="F30" s="291" t="s">
        <v>570</v>
      </c>
      <c r="G30" s="291" t="s">
        <v>570</v>
      </c>
      <c r="H30" s="291" t="s">
        <v>570</v>
      </c>
      <c r="I30" s="291" t="s">
        <v>570</v>
      </c>
    </row>
    <row r="31" spans="1:9" ht="13.5" customHeight="1">
      <c r="A31" s="304"/>
      <c r="B31" s="392"/>
      <c r="C31" s="392"/>
      <c r="D31" s="388" t="s">
        <v>696</v>
      </c>
      <c r="E31" s="291" t="s">
        <v>570</v>
      </c>
      <c r="F31" s="291" t="s">
        <v>570</v>
      </c>
      <c r="G31" s="291" t="s">
        <v>570</v>
      </c>
      <c r="H31" s="291" t="s">
        <v>570</v>
      </c>
      <c r="I31" s="291" t="s">
        <v>570</v>
      </c>
    </row>
    <row r="32" spans="1:9" ht="13.5" customHeight="1">
      <c r="A32" s="304"/>
      <c r="B32" s="392"/>
      <c r="C32" s="392"/>
      <c r="D32" s="388" t="s">
        <v>694</v>
      </c>
      <c r="E32" s="291" t="s">
        <v>570</v>
      </c>
      <c r="F32" s="291" t="s">
        <v>570</v>
      </c>
      <c r="G32" s="291" t="s">
        <v>570</v>
      </c>
      <c r="H32" s="291" t="s">
        <v>570</v>
      </c>
      <c r="I32" s="291" t="s">
        <v>570</v>
      </c>
    </row>
    <row r="33" spans="1:9" ht="13.5" customHeight="1">
      <c r="A33" s="304"/>
      <c r="B33" s="392"/>
      <c r="C33" s="392"/>
      <c r="D33" s="388" t="s">
        <v>695</v>
      </c>
      <c r="E33" s="291" t="s">
        <v>570</v>
      </c>
      <c r="F33" s="291" t="s">
        <v>570</v>
      </c>
      <c r="G33" s="291" t="s">
        <v>570</v>
      </c>
      <c r="H33" s="291" t="s">
        <v>570</v>
      </c>
      <c r="I33" s="291" t="s">
        <v>570</v>
      </c>
    </row>
    <row r="34" spans="1:9" ht="13.5" customHeight="1">
      <c r="A34" s="793">
        <v>3</v>
      </c>
      <c r="B34" s="1516" t="s">
        <v>1467</v>
      </c>
      <c r="C34" s="1516"/>
      <c r="D34" s="1517"/>
      <c r="E34" s="443" t="s">
        <v>570</v>
      </c>
      <c r="F34" s="443" t="s">
        <v>570</v>
      </c>
      <c r="G34" s="443" t="s">
        <v>570</v>
      </c>
      <c r="H34" s="443" t="s">
        <v>570</v>
      </c>
      <c r="I34" s="443" t="s">
        <v>570</v>
      </c>
    </row>
    <row r="35" spans="1:9" ht="13.5" customHeight="1">
      <c r="A35" s="794"/>
      <c r="B35" s="1515" t="s">
        <v>300</v>
      </c>
      <c r="C35" s="1515"/>
      <c r="D35" s="1306"/>
      <c r="E35" s="230">
        <f>SUM(E7,E17,E34)</f>
        <v>53</v>
      </c>
      <c r="F35" s="166">
        <f>SUM(F7,F17,F34)</f>
        <v>53</v>
      </c>
      <c r="G35" s="166">
        <f>SUM(G7,G17,G34)</f>
        <v>54</v>
      </c>
      <c r="H35" s="166">
        <f>SUM(H7,H17,H34)</f>
        <v>52</v>
      </c>
      <c r="I35" s="166">
        <f>SUM(I7,I17,I34)</f>
        <v>53</v>
      </c>
    </row>
    <row r="36" spans="1:9">
      <c r="A36" s="1176" t="s">
        <v>628</v>
      </c>
      <c r="B36" s="1176"/>
      <c r="C36" s="1176"/>
      <c r="D36" s="1176"/>
      <c r="E36" s="448"/>
      <c r="F36" s="451"/>
      <c r="G36" s="359"/>
      <c r="H36" s="775"/>
      <c r="I36" s="907" t="str">
        <f>CONCATENATE("Source : Heads of all Technical and Professional Institutions, ",District!A1)</f>
        <v>Source : Heads of all Technical and Professional Institutions, Jalpaiguri</v>
      </c>
    </row>
    <row r="37" spans="1:9">
      <c r="A37" s="36"/>
      <c r="B37" s="36"/>
      <c r="C37" s="36"/>
      <c r="D37" s="36"/>
      <c r="E37" s="36"/>
      <c r="F37" s="66"/>
      <c r="G37" s="254"/>
      <c r="H37" s="254"/>
      <c r="I37" s="254"/>
    </row>
    <row r="38" spans="1:9">
      <c r="A38" s="36"/>
      <c r="B38" s="36"/>
      <c r="C38" s="36"/>
      <c r="D38" s="36"/>
      <c r="E38" s="36"/>
      <c r="F38" s="66"/>
      <c r="G38" s="254"/>
      <c r="H38" s="254"/>
      <c r="I38" s="254"/>
    </row>
    <row r="39" spans="1:9">
      <c r="A39" s="36"/>
      <c r="B39" s="36"/>
      <c r="C39" s="36"/>
      <c r="D39" s="36"/>
      <c r="E39" s="36"/>
      <c r="F39" s="36"/>
      <c r="G39" s="36"/>
      <c r="H39" s="36"/>
      <c r="I39" s="36"/>
    </row>
    <row r="40" spans="1:9">
      <c r="A40" s="36"/>
      <c r="B40" s="36"/>
      <c r="C40" s="36"/>
      <c r="D40" s="36"/>
      <c r="E40" s="36"/>
      <c r="F40" s="36"/>
      <c r="G40" s="36"/>
      <c r="H40" s="36"/>
      <c r="I40" s="36"/>
    </row>
    <row r="41" spans="1:9">
      <c r="A41" s="36"/>
      <c r="B41" s="36"/>
      <c r="C41" s="36"/>
      <c r="D41" s="36"/>
      <c r="E41" s="36"/>
      <c r="F41" s="36"/>
      <c r="G41" s="36"/>
      <c r="H41" s="36"/>
      <c r="I41" s="36"/>
    </row>
    <row r="42" spans="1:9">
      <c r="A42" s="36"/>
      <c r="B42" s="36"/>
      <c r="C42" s="36"/>
      <c r="D42" s="36"/>
      <c r="E42" s="36"/>
      <c r="F42" s="36"/>
      <c r="G42" s="36"/>
      <c r="H42" s="36"/>
      <c r="I42" s="36"/>
    </row>
  </sheetData>
  <mergeCells count="15">
    <mergeCell ref="A1:I1"/>
    <mergeCell ref="A2:I2"/>
    <mergeCell ref="A6:D6"/>
    <mergeCell ref="B7:D7"/>
    <mergeCell ref="E4:I4"/>
    <mergeCell ref="B35:D35"/>
    <mergeCell ref="B34:D34"/>
    <mergeCell ref="C8:D8"/>
    <mergeCell ref="A4:D5"/>
    <mergeCell ref="C13:D13"/>
    <mergeCell ref="C16:D16"/>
    <mergeCell ref="C18:D18"/>
    <mergeCell ref="C28:D28"/>
    <mergeCell ref="C25:D25"/>
    <mergeCell ref="B17:D17"/>
  </mergeCells>
  <phoneticPr fontId="0" type="noConversion"/>
  <printOptions horizontalCentered="1"/>
  <pageMargins left="0.1" right="0.1" top="0.82" bottom="0.1" header="0.63" footer="0.1"/>
  <pageSetup paperSize="9" orientation="landscape" blackAndWhite="1" r:id="rId1"/>
  <headerFooter alignWithMargins="0"/>
</worksheet>
</file>

<file path=xl/worksheets/sheet28.xml><?xml version="1.0" encoding="utf-8"?>
<worksheet xmlns="http://schemas.openxmlformats.org/spreadsheetml/2006/main" xmlns:r="http://schemas.openxmlformats.org/officeDocument/2006/relationships">
  <sheetPr codeName="Sheet28"/>
  <dimension ref="A1:I28"/>
  <sheetViews>
    <sheetView topLeftCell="A19" workbookViewId="0">
      <selection activeCell="K13" sqref="K13"/>
    </sheetView>
  </sheetViews>
  <sheetFormatPr defaultRowHeight="12.75"/>
  <cols>
    <col min="1" max="1" width="4.42578125" style="36" customWidth="1"/>
    <col min="2" max="3" width="9.140625" style="36"/>
    <col min="4" max="4" width="26.28515625" style="36" customWidth="1"/>
    <col min="5" max="9" width="15.5703125" style="36" customWidth="1"/>
    <col min="10" max="16384" width="9.140625" style="36"/>
  </cols>
  <sheetData>
    <row r="1" spans="1:9" ht="12.75" customHeight="1">
      <c r="A1" s="1361" t="s">
        <v>414</v>
      </c>
      <c r="B1" s="1361"/>
      <c r="C1" s="1361"/>
      <c r="D1" s="1361"/>
      <c r="E1" s="1361"/>
      <c r="F1" s="1361"/>
      <c r="G1" s="1361"/>
      <c r="H1" s="1361"/>
      <c r="I1" s="1361"/>
    </row>
    <row r="2" spans="1:9" ht="20.25" customHeight="1">
      <c r="A2" s="1482" t="str">
        <f>CONCATENATE("Special and Non-formal Educational Institutions by type in the district of ",District!A1)</f>
        <v>Special and Non-formal Educational Institutions by type in the district of Jalpaiguri</v>
      </c>
      <c r="B2" s="1482"/>
      <c r="C2" s="1482"/>
      <c r="D2" s="1482"/>
      <c r="E2" s="1482"/>
      <c r="F2" s="1482"/>
      <c r="G2" s="1482"/>
      <c r="H2" s="1482"/>
      <c r="I2" s="1482"/>
    </row>
    <row r="3" spans="1:9" customFormat="1" ht="12" customHeight="1">
      <c r="A3" s="448"/>
      <c r="B3" s="359"/>
      <c r="C3" s="359"/>
      <c r="D3" s="359"/>
      <c r="E3" s="359"/>
      <c r="F3" s="359"/>
      <c r="G3" s="359"/>
      <c r="H3" s="359"/>
      <c r="I3" s="691" t="s">
        <v>312</v>
      </c>
    </row>
    <row r="4" spans="1:9" customFormat="1" ht="15" customHeight="1">
      <c r="A4" s="1293" t="s">
        <v>882</v>
      </c>
      <c r="B4" s="1502"/>
      <c r="C4" s="1502"/>
      <c r="D4" s="1294"/>
      <c r="E4" s="1444" t="s">
        <v>98</v>
      </c>
      <c r="F4" s="1444"/>
      <c r="G4" s="1444"/>
      <c r="H4" s="1444"/>
      <c r="I4" s="1446"/>
    </row>
    <row r="5" spans="1:9" customFormat="1" ht="17.25" customHeight="1">
      <c r="A5" s="1503"/>
      <c r="B5" s="1504"/>
      <c r="C5" s="1504"/>
      <c r="D5" s="1505"/>
      <c r="E5" s="637" t="s">
        <v>1110</v>
      </c>
      <c r="F5" s="637" t="s">
        <v>1111</v>
      </c>
      <c r="G5" s="637" t="s">
        <v>641</v>
      </c>
      <c r="H5" s="637" t="s">
        <v>909</v>
      </c>
      <c r="I5" s="637" t="s">
        <v>895</v>
      </c>
    </row>
    <row r="6" spans="1:9" ht="18" customHeight="1">
      <c r="A6" s="1533" t="s">
        <v>278</v>
      </c>
      <c r="B6" s="1534"/>
      <c r="C6" s="1534"/>
      <c r="D6" s="1535"/>
      <c r="E6" s="345" t="s">
        <v>279</v>
      </c>
      <c r="F6" s="467" t="s">
        <v>280</v>
      </c>
      <c r="G6" s="346" t="s">
        <v>281</v>
      </c>
      <c r="H6" s="467" t="s">
        <v>282</v>
      </c>
      <c r="I6" s="347" t="s">
        <v>283</v>
      </c>
    </row>
    <row r="7" spans="1:9" ht="18" customHeight="1">
      <c r="A7" s="349">
        <v>1</v>
      </c>
      <c r="B7" s="1536" t="s">
        <v>697</v>
      </c>
      <c r="C7" s="1536"/>
      <c r="D7" s="1537"/>
      <c r="E7" s="149">
        <v>1132</v>
      </c>
      <c r="F7" s="149">
        <v>1132</v>
      </c>
      <c r="G7" s="149">
        <v>1132</v>
      </c>
      <c r="H7" s="149">
        <v>1132</v>
      </c>
      <c r="I7" s="149">
        <v>1132</v>
      </c>
    </row>
    <row r="8" spans="1:9" ht="18" customHeight="1">
      <c r="A8" s="291">
        <v>2</v>
      </c>
      <c r="B8" s="1527" t="s">
        <v>258</v>
      </c>
      <c r="C8" s="1527"/>
      <c r="D8" s="1528"/>
      <c r="E8" s="149">
        <v>112</v>
      </c>
      <c r="F8" s="149">
        <v>112</v>
      </c>
      <c r="G8" s="149">
        <v>112</v>
      </c>
      <c r="H8" s="149">
        <v>112</v>
      </c>
      <c r="I8" s="149">
        <v>112</v>
      </c>
    </row>
    <row r="9" spans="1:9" ht="18" customHeight="1">
      <c r="A9" s="291">
        <v>3</v>
      </c>
      <c r="B9" s="1527" t="s">
        <v>698</v>
      </c>
      <c r="C9" s="1527"/>
      <c r="D9" s="1528"/>
      <c r="E9" s="149" t="s">
        <v>570</v>
      </c>
      <c r="F9" s="149" t="s">
        <v>570</v>
      </c>
      <c r="G9" s="149" t="s">
        <v>570</v>
      </c>
      <c r="H9" s="149" t="s">
        <v>570</v>
      </c>
      <c r="I9" s="149" t="s">
        <v>570</v>
      </c>
    </row>
    <row r="10" spans="1:9" ht="18" customHeight="1">
      <c r="A10" s="291">
        <v>4</v>
      </c>
      <c r="B10" s="1527" t="s">
        <v>797</v>
      </c>
      <c r="C10" s="1527"/>
      <c r="D10" s="1528"/>
      <c r="E10" s="149">
        <v>11</v>
      </c>
      <c r="F10" s="149">
        <v>11</v>
      </c>
      <c r="G10" s="149">
        <v>11</v>
      </c>
      <c r="H10" s="149">
        <v>11</v>
      </c>
      <c r="I10" s="149">
        <v>11</v>
      </c>
    </row>
    <row r="11" spans="1:9" ht="18" customHeight="1">
      <c r="A11" s="291">
        <v>5</v>
      </c>
      <c r="B11" s="1527" t="s">
        <v>699</v>
      </c>
      <c r="C11" s="1527"/>
      <c r="D11" s="1528"/>
      <c r="E11" s="149">
        <v>1</v>
      </c>
      <c r="F11" s="149">
        <v>1</v>
      </c>
      <c r="G11" s="149">
        <v>1</v>
      </c>
      <c r="H11" s="149">
        <v>1</v>
      </c>
      <c r="I11" s="149">
        <v>1</v>
      </c>
    </row>
    <row r="12" spans="1:9" ht="18" customHeight="1">
      <c r="A12" s="291">
        <v>6</v>
      </c>
      <c r="B12" s="1527" t="s">
        <v>700</v>
      </c>
      <c r="C12" s="1527"/>
      <c r="D12" s="1528"/>
      <c r="E12" s="149">
        <v>1</v>
      </c>
      <c r="F12" s="149">
        <v>1</v>
      </c>
      <c r="G12" s="149">
        <v>1</v>
      </c>
      <c r="H12" s="149">
        <v>1</v>
      </c>
      <c r="I12" s="149">
        <v>1</v>
      </c>
    </row>
    <row r="13" spans="1:9" ht="26.25" customHeight="1">
      <c r="A13" s="607">
        <v>7</v>
      </c>
      <c r="B13" s="1529" t="s">
        <v>798</v>
      </c>
      <c r="C13" s="1529"/>
      <c r="D13" s="1530"/>
      <c r="E13" s="149">
        <v>10</v>
      </c>
      <c r="F13" s="149">
        <v>10</v>
      </c>
      <c r="G13" s="149">
        <v>10</v>
      </c>
      <c r="H13" s="149">
        <v>10</v>
      </c>
      <c r="I13" s="149">
        <v>10</v>
      </c>
    </row>
    <row r="14" spans="1:9" ht="18" customHeight="1">
      <c r="A14" s="291">
        <v>8</v>
      </c>
      <c r="B14" s="1527" t="s">
        <v>709</v>
      </c>
      <c r="C14" s="1527"/>
      <c r="D14" s="1528"/>
      <c r="E14" s="291" t="s">
        <v>570</v>
      </c>
      <c r="F14" s="291" t="s">
        <v>570</v>
      </c>
      <c r="G14" s="291" t="s">
        <v>570</v>
      </c>
      <c r="H14" s="291" t="s">
        <v>570</v>
      </c>
      <c r="I14" s="291" t="s">
        <v>570</v>
      </c>
    </row>
    <row r="15" spans="1:9" ht="18" customHeight="1">
      <c r="A15" s="291">
        <v>9</v>
      </c>
      <c r="B15" s="1527" t="s">
        <v>710</v>
      </c>
      <c r="C15" s="1527"/>
      <c r="D15" s="1528"/>
      <c r="E15" s="149">
        <v>6565</v>
      </c>
      <c r="F15" s="149">
        <v>6565</v>
      </c>
      <c r="G15" s="149">
        <v>6809</v>
      </c>
      <c r="H15" s="149">
        <v>6809</v>
      </c>
      <c r="I15" s="149">
        <v>6833</v>
      </c>
    </row>
    <row r="16" spans="1:9" ht="18" customHeight="1">
      <c r="A16" s="291">
        <v>10</v>
      </c>
      <c r="B16" s="1527" t="s">
        <v>1511</v>
      </c>
      <c r="C16" s="1527"/>
      <c r="D16" s="1528"/>
      <c r="E16" s="149">
        <v>2</v>
      </c>
      <c r="F16" s="149">
        <v>2</v>
      </c>
      <c r="G16" s="149">
        <v>2</v>
      </c>
      <c r="H16" s="149">
        <v>2</v>
      </c>
      <c r="I16" s="149">
        <v>2</v>
      </c>
    </row>
    <row r="17" spans="1:9" ht="41.25" customHeight="1">
      <c r="A17" s="607">
        <v>11</v>
      </c>
      <c r="B17" s="1529" t="s">
        <v>799</v>
      </c>
      <c r="C17" s="1529"/>
      <c r="D17" s="1530"/>
      <c r="E17" s="149">
        <v>1</v>
      </c>
      <c r="F17" s="149">
        <v>1</v>
      </c>
      <c r="G17" s="149">
        <v>1</v>
      </c>
      <c r="H17" s="149">
        <v>1</v>
      </c>
      <c r="I17" s="149">
        <v>1</v>
      </c>
    </row>
    <row r="18" spans="1:9" ht="18" customHeight="1">
      <c r="A18" s="496">
        <v>12</v>
      </c>
      <c r="B18" s="1531" t="s">
        <v>248</v>
      </c>
      <c r="C18" s="1531"/>
      <c r="D18" s="1532"/>
      <c r="E18" s="149">
        <v>1</v>
      </c>
      <c r="F18" s="149">
        <v>1</v>
      </c>
      <c r="G18" s="149">
        <v>1</v>
      </c>
      <c r="H18" s="149">
        <v>1</v>
      </c>
      <c r="I18" s="149">
        <v>1</v>
      </c>
    </row>
    <row r="19" spans="1:9" ht="18" customHeight="1">
      <c r="A19" s="252"/>
      <c r="B19" s="1463" t="s">
        <v>300</v>
      </c>
      <c r="C19" s="1463"/>
      <c r="D19" s="1464"/>
      <c r="E19" s="218">
        <f>SUM(E7:E18)</f>
        <v>7836</v>
      </c>
      <c r="F19" s="253">
        <f>SUM(F7:F18)</f>
        <v>7836</v>
      </c>
      <c r="G19" s="253">
        <f>SUM(G7:G18)</f>
        <v>8080</v>
      </c>
      <c r="H19" s="253">
        <f>SUM(H7:H18)</f>
        <v>8080</v>
      </c>
      <c r="I19" s="253">
        <f>SUM(I7:I18)</f>
        <v>8104</v>
      </c>
    </row>
    <row r="20" spans="1:9">
      <c r="A20" s="912"/>
      <c r="B20" s="448"/>
      <c r="C20" s="448"/>
      <c r="D20" s="448"/>
      <c r="F20" s="903" t="s">
        <v>80</v>
      </c>
      <c r="G20" s="499" t="s">
        <v>1226</v>
      </c>
      <c r="H20" s="499"/>
      <c r="I20" s="499"/>
    </row>
    <row r="21" spans="1:9">
      <c r="A21" s="448"/>
      <c r="B21" s="448"/>
      <c r="C21" s="448"/>
      <c r="D21" s="448"/>
      <c r="F21" s="903" t="s">
        <v>81</v>
      </c>
      <c r="G21" s="499" t="s">
        <v>1227</v>
      </c>
      <c r="H21" s="499"/>
      <c r="I21" s="499"/>
    </row>
    <row r="22" spans="1:9">
      <c r="A22" s="448"/>
      <c r="B22" s="448"/>
      <c r="C22" s="448"/>
      <c r="D22" s="448"/>
      <c r="F22" s="903" t="s">
        <v>82</v>
      </c>
      <c r="G22" s="499" t="s">
        <v>1228</v>
      </c>
      <c r="H22" s="499"/>
      <c r="I22" s="499"/>
    </row>
    <row r="23" spans="1:9">
      <c r="A23" s="448"/>
      <c r="B23" s="448"/>
      <c r="C23" s="448"/>
      <c r="D23" s="448"/>
      <c r="F23" s="903" t="s">
        <v>83</v>
      </c>
      <c r="G23" s="499" t="s">
        <v>1229</v>
      </c>
      <c r="H23" s="499"/>
      <c r="I23" s="499"/>
    </row>
    <row r="24" spans="1:9">
      <c r="A24" s="448"/>
      <c r="B24" s="448"/>
      <c r="C24" s="448"/>
      <c r="D24" s="448"/>
      <c r="F24" s="903" t="s">
        <v>1114</v>
      </c>
      <c r="G24" s="499" t="s">
        <v>1230</v>
      </c>
      <c r="H24" s="499"/>
      <c r="I24" s="499"/>
    </row>
    <row r="25" spans="1:9">
      <c r="A25" s="448"/>
      <c r="B25" s="448"/>
      <c r="C25" s="448"/>
      <c r="D25" s="448"/>
      <c r="F25" s="903" t="s">
        <v>1017</v>
      </c>
      <c r="G25" s="499" t="s">
        <v>1018</v>
      </c>
      <c r="H25" s="499"/>
      <c r="I25" s="499"/>
    </row>
    <row r="26" spans="1:9">
      <c r="A26" s="448"/>
      <c r="B26" s="448"/>
      <c r="C26" s="448"/>
      <c r="D26" s="448"/>
      <c r="F26" s="903" t="s">
        <v>1019</v>
      </c>
      <c r="G26" s="499" t="s">
        <v>1020</v>
      </c>
      <c r="H26" s="499"/>
      <c r="I26" s="499"/>
    </row>
    <row r="27" spans="1:9">
      <c r="A27" s="448"/>
      <c r="B27" s="448"/>
      <c r="C27" s="448"/>
      <c r="D27" s="448"/>
      <c r="F27" s="903" t="s">
        <v>1021</v>
      </c>
      <c r="G27" s="499" t="s">
        <v>533</v>
      </c>
      <c r="H27" s="499"/>
      <c r="I27" s="499"/>
    </row>
    <row r="28" spans="1:9">
      <c r="A28" s="448"/>
      <c r="B28" s="448"/>
      <c r="C28" s="448"/>
      <c r="D28" s="448"/>
      <c r="F28" s="903" t="s">
        <v>1022</v>
      </c>
      <c r="G28" s="908" t="s">
        <v>1023</v>
      </c>
      <c r="H28" s="499"/>
      <c r="I28" s="499"/>
    </row>
  </sheetData>
  <mergeCells count="18">
    <mergeCell ref="A1:I1"/>
    <mergeCell ref="B12:D12"/>
    <mergeCell ref="A2:I2"/>
    <mergeCell ref="A6:D6"/>
    <mergeCell ref="B7:D7"/>
    <mergeCell ref="A4:D5"/>
    <mergeCell ref="E4:I4"/>
    <mergeCell ref="B8:D8"/>
    <mergeCell ref="B9:D9"/>
    <mergeCell ref="B10:D10"/>
    <mergeCell ref="B19:D19"/>
    <mergeCell ref="B11:D11"/>
    <mergeCell ref="B17:D17"/>
    <mergeCell ref="B18:D18"/>
    <mergeCell ref="B13:D13"/>
    <mergeCell ref="B14:D14"/>
    <mergeCell ref="B15:D15"/>
    <mergeCell ref="B16:D16"/>
  </mergeCells>
  <phoneticPr fontId="0" type="noConversion"/>
  <printOptions horizontalCentered="1"/>
  <pageMargins left="0.1" right="0.1" top="0.81" bottom="0.1" header="0.5" footer="0.1"/>
  <pageSetup paperSize="9" orientation="landscape" blackAndWhite="1" r:id="rId1"/>
  <headerFooter alignWithMargins="0"/>
</worksheet>
</file>

<file path=xl/worksheets/sheet29.xml><?xml version="1.0" encoding="utf-8"?>
<worksheet xmlns="http://schemas.openxmlformats.org/spreadsheetml/2006/main" xmlns:r="http://schemas.openxmlformats.org/officeDocument/2006/relationships">
  <sheetPr codeName="Sheet29"/>
  <dimension ref="A1:N44"/>
  <sheetViews>
    <sheetView topLeftCell="A21" workbookViewId="0">
      <selection activeCell="G16" sqref="G16"/>
    </sheetView>
  </sheetViews>
  <sheetFormatPr defaultRowHeight="12.75"/>
  <cols>
    <col min="1" max="1" width="1.7109375" customWidth="1"/>
    <col min="2" max="2" width="2.85546875" customWidth="1"/>
    <col min="3" max="3" width="0.85546875" customWidth="1"/>
    <col min="4" max="4" width="47.85546875" customWidth="1"/>
    <col min="5" max="14" width="8.28515625" customWidth="1"/>
  </cols>
  <sheetData>
    <row r="1" spans="1:14" ht="11.25" customHeight="1">
      <c r="A1" s="1393" t="s">
        <v>415</v>
      </c>
      <c r="B1" s="1393"/>
      <c r="C1" s="1393"/>
      <c r="D1" s="1393"/>
      <c r="E1" s="1393"/>
      <c r="F1" s="1393"/>
      <c r="G1" s="1393"/>
      <c r="H1" s="1393"/>
      <c r="I1" s="1393"/>
      <c r="J1" s="1393"/>
      <c r="K1" s="1393"/>
      <c r="L1" s="1393"/>
      <c r="M1" s="1393"/>
      <c r="N1" s="1393"/>
    </row>
    <row r="2" spans="1:14" ht="13.5" customHeight="1">
      <c r="A2" s="1353" t="str">
        <f>CONCATENATE("Students by sex in different type of General Educational Institutions in the district of ",District!A1)</f>
        <v>Students by sex in different type of General Educational Institutions in the district of Jalpaiguri</v>
      </c>
      <c r="B2" s="1353"/>
      <c r="C2" s="1353"/>
      <c r="D2" s="1353"/>
      <c r="E2" s="1353"/>
      <c r="F2" s="1353"/>
      <c r="G2" s="1353"/>
      <c r="H2" s="1353"/>
      <c r="I2" s="1353"/>
      <c r="J2" s="1353"/>
      <c r="K2" s="1353"/>
      <c r="L2" s="1353"/>
      <c r="M2" s="1353"/>
      <c r="N2" s="1353"/>
    </row>
    <row r="3" spans="1:14" ht="12" customHeight="1">
      <c r="B3" s="7"/>
      <c r="C3" s="7"/>
      <c r="D3" s="109"/>
      <c r="E3" s="109"/>
      <c r="F3" s="109"/>
      <c r="G3" s="109"/>
      <c r="H3" s="109"/>
      <c r="I3" s="109"/>
      <c r="J3" s="109"/>
      <c r="K3" s="109"/>
      <c r="L3" s="109"/>
      <c r="M3" s="109"/>
      <c r="N3" s="1056" t="s">
        <v>312</v>
      </c>
    </row>
    <row r="4" spans="1:14">
      <c r="A4" s="1379" t="s">
        <v>882</v>
      </c>
      <c r="B4" s="1425"/>
      <c r="C4" s="1425"/>
      <c r="D4" s="1380"/>
      <c r="E4" s="1445" t="s">
        <v>98</v>
      </c>
      <c r="F4" s="1444"/>
      <c r="G4" s="1444"/>
      <c r="H4" s="1444"/>
      <c r="I4" s="1444"/>
      <c r="J4" s="1444"/>
      <c r="K4" s="1283"/>
      <c r="L4" s="1283"/>
      <c r="M4" s="1444"/>
      <c r="N4" s="1446"/>
    </row>
    <row r="5" spans="1:14" ht="12.75" customHeight="1">
      <c r="A5" s="1426"/>
      <c r="B5" s="1427"/>
      <c r="C5" s="1427"/>
      <c r="D5" s="1428"/>
      <c r="E5" s="1290" t="s">
        <v>1110</v>
      </c>
      <c r="F5" s="1292"/>
      <c r="G5" s="1290" t="s">
        <v>1111</v>
      </c>
      <c r="H5" s="1292"/>
      <c r="I5" s="1290" t="s">
        <v>641</v>
      </c>
      <c r="J5" s="1292"/>
      <c r="K5" s="1291" t="s">
        <v>909</v>
      </c>
      <c r="L5" s="1292"/>
      <c r="M5" s="1291" t="s">
        <v>895</v>
      </c>
      <c r="N5" s="1292"/>
    </row>
    <row r="6" spans="1:14">
      <c r="A6" s="1429"/>
      <c r="B6" s="1430"/>
      <c r="C6" s="1430"/>
      <c r="D6" s="1430"/>
      <c r="E6" s="362" t="s">
        <v>332</v>
      </c>
      <c r="F6" s="637" t="s">
        <v>333</v>
      </c>
      <c r="G6" s="362" t="s">
        <v>332</v>
      </c>
      <c r="H6" s="637" t="s">
        <v>333</v>
      </c>
      <c r="I6" s="362" t="s">
        <v>332</v>
      </c>
      <c r="J6" s="637" t="s">
        <v>333</v>
      </c>
      <c r="K6" s="362" t="s">
        <v>332</v>
      </c>
      <c r="L6" s="637" t="s">
        <v>333</v>
      </c>
      <c r="M6" s="362" t="s">
        <v>332</v>
      </c>
      <c r="N6" s="637" t="s">
        <v>333</v>
      </c>
    </row>
    <row r="7" spans="1:14">
      <c r="A7" s="1385" t="s">
        <v>278</v>
      </c>
      <c r="B7" s="1424"/>
      <c r="C7" s="1424"/>
      <c r="D7" s="1386"/>
      <c r="E7" s="160" t="s">
        <v>279</v>
      </c>
      <c r="F7" s="161" t="s">
        <v>280</v>
      </c>
      <c r="G7" s="92" t="s">
        <v>281</v>
      </c>
      <c r="H7" s="58" t="s">
        <v>282</v>
      </c>
      <c r="I7" s="153" t="s">
        <v>283</v>
      </c>
      <c r="J7" s="58" t="s">
        <v>284</v>
      </c>
      <c r="K7" s="92" t="s">
        <v>301</v>
      </c>
      <c r="L7" s="58" t="s">
        <v>302</v>
      </c>
      <c r="M7" s="87" t="s">
        <v>303</v>
      </c>
      <c r="N7" s="58" t="s">
        <v>304</v>
      </c>
    </row>
    <row r="8" spans="1:14" ht="14.25" customHeight="1">
      <c r="A8" s="785">
        <v>1</v>
      </c>
      <c r="B8" s="1525" t="s">
        <v>1558</v>
      </c>
      <c r="C8" s="1525"/>
      <c r="D8" s="1526"/>
      <c r="E8" s="223">
        <f>E9+E14+E19+E24</f>
        <v>357697</v>
      </c>
      <c r="F8" s="211">
        <f>F9+F14+F19+F24</f>
        <v>339138</v>
      </c>
      <c r="G8" s="223">
        <f>G9+G14+G19+G24</f>
        <v>352806</v>
      </c>
      <c r="H8" s="211">
        <f>H9+H14+H19+H24</f>
        <v>332513</v>
      </c>
      <c r="I8" s="223">
        <f t="shared" ref="I8:N8" si="0">I9+I14+I19+I24</f>
        <v>353032</v>
      </c>
      <c r="J8" s="211">
        <f t="shared" si="0"/>
        <v>330818</v>
      </c>
      <c r="K8" s="223">
        <f t="shared" si="0"/>
        <v>359486</v>
      </c>
      <c r="L8" s="211">
        <f t="shared" si="0"/>
        <v>334582</v>
      </c>
      <c r="M8" s="223">
        <f t="shared" si="0"/>
        <v>362034</v>
      </c>
      <c r="N8" s="211">
        <f t="shared" si="0"/>
        <v>335188</v>
      </c>
    </row>
    <row r="9" spans="1:14" ht="27.75" customHeight="1">
      <c r="A9" s="304"/>
      <c r="B9" s="112" t="s">
        <v>598</v>
      </c>
      <c r="C9" s="1520" t="s">
        <v>1025</v>
      </c>
      <c r="D9" s="1521"/>
      <c r="E9" s="787">
        <f>SUM(E10:E13)</f>
        <v>142815</v>
      </c>
      <c r="F9" s="788">
        <f>SUM(F10:F13)</f>
        <v>140454</v>
      </c>
      <c r="G9" s="787">
        <f>SUM(G10:G13)</f>
        <v>133592</v>
      </c>
      <c r="H9" s="788">
        <f>SUM(H10:H13)</f>
        <v>130802</v>
      </c>
      <c r="I9" s="787">
        <f t="shared" ref="I9:N9" si="1">SUM(I10:I13)</f>
        <v>127493</v>
      </c>
      <c r="J9" s="788">
        <f t="shared" si="1"/>
        <v>125572</v>
      </c>
      <c r="K9" s="787">
        <f t="shared" si="1"/>
        <v>127381</v>
      </c>
      <c r="L9" s="788">
        <f t="shared" si="1"/>
        <v>124849</v>
      </c>
      <c r="M9" s="787">
        <f t="shared" si="1"/>
        <v>124194</v>
      </c>
      <c r="N9" s="788">
        <f t="shared" si="1"/>
        <v>121720</v>
      </c>
    </row>
    <row r="10" spans="1:14" ht="12.75" customHeight="1">
      <c r="A10" s="304"/>
      <c r="B10" s="392"/>
      <c r="C10" s="392"/>
      <c r="D10" s="436" t="s">
        <v>593</v>
      </c>
      <c r="E10" s="215">
        <v>142170</v>
      </c>
      <c r="F10" s="450">
        <v>139882</v>
      </c>
      <c r="G10" s="215">
        <v>132951</v>
      </c>
      <c r="H10" s="450">
        <v>130249</v>
      </c>
      <c r="I10" s="215">
        <v>126890</v>
      </c>
      <c r="J10" s="450">
        <v>125027</v>
      </c>
      <c r="K10" s="215">
        <v>126786</v>
      </c>
      <c r="L10" s="450">
        <v>124307</v>
      </c>
      <c r="M10" s="215">
        <v>123622</v>
      </c>
      <c r="N10" s="450">
        <v>121195</v>
      </c>
    </row>
    <row r="11" spans="1:14">
      <c r="A11" s="304"/>
      <c r="B11" s="392"/>
      <c r="C11" s="392"/>
      <c r="D11" s="436" t="s">
        <v>594</v>
      </c>
      <c r="E11" s="215">
        <v>645</v>
      </c>
      <c r="F11" s="450">
        <v>572</v>
      </c>
      <c r="G11" s="215">
        <v>641</v>
      </c>
      <c r="H11" s="450">
        <v>553</v>
      </c>
      <c r="I11" s="215">
        <v>603</v>
      </c>
      <c r="J11" s="450">
        <v>545</v>
      </c>
      <c r="K11" s="215">
        <v>595</v>
      </c>
      <c r="L11" s="450">
        <v>542</v>
      </c>
      <c r="M11" s="215">
        <v>572</v>
      </c>
      <c r="N11" s="450">
        <v>525</v>
      </c>
    </row>
    <row r="12" spans="1:14">
      <c r="A12" s="304"/>
      <c r="B12" s="392"/>
      <c r="C12" s="392"/>
      <c r="D12" s="436" t="s">
        <v>595</v>
      </c>
      <c r="E12" s="215" t="s">
        <v>570</v>
      </c>
      <c r="F12" s="450" t="s">
        <v>570</v>
      </c>
      <c r="G12" s="215" t="s">
        <v>570</v>
      </c>
      <c r="H12" s="450" t="s">
        <v>570</v>
      </c>
      <c r="I12" s="215" t="s">
        <v>570</v>
      </c>
      <c r="J12" s="450" t="s">
        <v>570</v>
      </c>
      <c r="K12" s="215" t="s">
        <v>570</v>
      </c>
      <c r="L12" s="450" t="s">
        <v>570</v>
      </c>
      <c r="M12" s="215" t="s">
        <v>570</v>
      </c>
      <c r="N12" s="450" t="s">
        <v>570</v>
      </c>
    </row>
    <row r="13" spans="1:14">
      <c r="A13" s="304"/>
      <c r="B13" s="392"/>
      <c r="C13" s="392"/>
      <c r="D13" s="436" t="s">
        <v>253</v>
      </c>
      <c r="E13" s="215" t="s">
        <v>570</v>
      </c>
      <c r="F13" s="450" t="s">
        <v>570</v>
      </c>
      <c r="G13" s="215" t="s">
        <v>570</v>
      </c>
      <c r="H13" s="450" t="s">
        <v>570</v>
      </c>
      <c r="I13" s="215" t="s">
        <v>570</v>
      </c>
      <c r="J13" s="450" t="s">
        <v>570</v>
      </c>
      <c r="K13" s="215" t="s">
        <v>570</v>
      </c>
      <c r="L13" s="450" t="s">
        <v>570</v>
      </c>
      <c r="M13" s="215" t="s">
        <v>570</v>
      </c>
      <c r="N13" s="450" t="s">
        <v>570</v>
      </c>
    </row>
    <row r="14" spans="1:14" ht="28.5" customHeight="1">
      <c r="A14" s="304"/>
      <c r="B14" s="112" t="s">
        <v>596</v>
      </c>
      <c r="C14" s="1520" t="s">
        <v>1026</v>
      </c>
      <c r="D14" s="1540"/>
      <c r="E14" s="787">
        <f>SUM(E15:E18)</f>
        <v>7430</v>
      </c>
      <c r="F14" s="788">
        <f>SUM(F15:F18)</f>
        <v>6701</v>
      </c>
      <c r="G14" s="787">
        <f>SUM(G15:G18)</f>
        <v>8676</v>
      </c>
      <c r="H14" s="788">
        <f>SUM(H15:H18)</f>
        <v>7830</v>
      </c>
      <c r="I14" s="787">
        <f t="shared" ref="I14:N14" si="2">SUM(I15:I18)</f>
        <v>9053</v>
      </c>
      <c r="J14" s="788">
        <f t="shared" si="2"/>
        <v>8304</v>
      </c>
      <c r="K14" s="787">
        <f t="shared" si="2"/>
        <v>10586</v>
      </c>
      <c r="L14" s="788">
        <f t="shared" si="2"/>
        <v>9907</v>
      </c>
      <c r="M14" s="787">
        <f t="shared" si="2"/>
        <v>12094</v>
      </c>
      <c r="N14" s="788">
        <f t="shared" si="2"/>
        <v>11120</v>
      </c>
    </row>
    <row r="15" spans="1:14">
      <c r="A15" s="304"/>
      <c r="B15" s="392"/>
      <c r="C15" s="392"/>
      <c r="D15" s="436" t="s">
        <v>711</v>
      </c>
      <c r="E15" s="215">
        <v>6679</v>
      </c>
      <c r="F15" s="450">
        <v>6171</v>
      </c>
      <c r="G15" s="215">
        <v>7901</v>
      </c>
      <c r="H15" s="450">
        <v>7285</v>
      </c>
      <c r="I15" s="215">
        <v>8144</v>
      </c>
      <c r="J15" s="450">
        <v>7574</v>
      </c>
      <c r="K15" s="215">
        <v>9640</v>
      </c>
      <c r="L15" s="450">
        <v>9137</v>
      </c>
      <c r="M15" s="215">
        <v>10825</v>
      </c>
      <c r="N15" s="450">
        <v>10127</v>
      </c>
    </row>
    <row r="16" spans="1:14">
      <c r="A16" s="304"/>
      <c r="B16" s="392"/>
      <c r="C16" s="392"/>
      <c r="D16" s="436" t="s">
        <v>712</v>
      </c>
      <c r="E16" s="215" t="s">
        <v>570</v>
      </c>
      <c r="F16" s="450" t="s">
        <v>570</v>
      </c>
      <c r="G16" s="215" t="s">
        <v>570</v>
      </c>
      <c r="H16" s="450" t="s">
        <v>570</v>
      </c>
      <c r="I16" s="215">
        <v>99</v>
      </c>
      <c r="J16" s="450">
        <v>163</v>
      </c>
      <c r="K16" s="215">
        <v>125</v>
      </c>
      <c r="L16" s="450">
        <v>190</v>
      </c>
      <c r="M16" s="215">
        <v>358</v>
      </c>
      <c r="N16" s="450">
        <v>377</v>
      </c>
    </row>
    <row r="17" spans="1:14">
      <c r="A17" s="304"/>
      <c r="B17" s="392"/>
      <c r="C17" s="392"/>
      <c r="D17" s="436" t="s">
        <v>595</v>
      </c>
      <c r="E17" s="215">
        <v>751</v>
      </c>
      <c r="F17" s="450">
        <v>530</v>
      </c>
      <c r="G17" s="215">
        <v>775</v>
      </c>
      <c r="H17" s="450">
        <v>545</v>
      </c>
      <c r="I17" s="215">
        <v>810</v>
      </c>
      <c r="J17" s="450">
        <v>567</v>
      </c>
      <c r="K17" s="215">
        <v>821</v>
      </c>
      <c r="L17" s="450">
        <v>580</v>
      </c>
      <c r="M17" s="215">
        <v>911</v>
      </c>
      <c r="N17" s="450">
        <v>616</v>
      </c>
    </row>
    <row r="18" spans="1:14">
      <c r="A18" s="304"/>
      <c r="B18" s="392"/>
      <c r="C18" s="392"/>
      <c r="D18" s="436" t="s">
        <v>253</v>
      </c>
      <c r="E18" s="145" t="s">
        <v>570</v>
      </c>
      <c r="F18" s="146" t="s">
        <v>570</v>
      </c>
      <c r="G18" s="145" t="s">
        <v>570</v>
      </c>
      <c r="H18" s="146" t="s">
        <v>570</v>
      </c>
      <c r="I18" s="145" t="s">
        <v>570</v>
      </c>
      <c r="J18" s="146" t="s">
        <v>570</v>
      </c>
      <c r="K18" s="145" t="s">
        <v>570</v>
      </c>
      <c r="L18" s="146" t="s">
        <v>570</v>
      </c>
      <c r="M18" s="145" t="s">
        <v>570</v>
      </c>
      <c r="N18" s="146" t="s">
        <v>570</v>
      </c>
    </row>
    <row r="19" spans="1:14" ht="26.25" customHeight="1">
      <c r="A19" s="304"/>
      <c r="B19" s="112" t="s">
        <v>597</v>
      </c>
      <c r="C19" s="1520" t="s">
        <v>1035</v>
      </c>
      <c r="D19" s="1521"/>
      <c r="E19" s="787">
        <f>SUM(E20:E23)</f>
        <v>90317</v>
      </c>
      <c r="F19" s="788">
        <f>SUM(F20:F23)</f>
        <v>89611</v>
      </c>
      <c r="G19" s="787">
        <f>SUM(G20:G23)</f>
        <v>84989</v>
      </c>
      <c r="H19" s="788">
        <f>SUM(H20:H23)</f>
        <v>84147</v>
      </c>
      <c r="I19" s="787">
        <f t="shared" ref="I19:N19" si="3">SUM(I20:I23)</f>
        <v>76216</v>
      </c>
      <c r="J19" s="788">
        <f t="shared" si="3"/>
        <v>76917</v>
      </c>
      <c r="K19" s="787">
        <f t="shared" si="3"/>
        <v>70584</v>
      </c>
      <c r="L19" s="788">
        <f t="shared" si="3"/>
        <v>70330</v>
      </c>
      <c r="M19" s="787">
        <f t="shared" si="3"/>
        <v>51044</v>
      </c>
      <c r="N19" s="788">
        <f t="shared" si="3"/>
        <v>50822</v>
      </c>
    </row>
    <row r="20" spans="1:14">
      <c r="A20" s="304"/>
      <c r="B20" s="392"/>
      <c r="C20" s="392"/>
      <c r="D20" s="436" t="s">
        <v>711</v>
      </c>
      <c r="E20" s="215">
        <v>79700</v>
      </c>
      <c r="F20" s="450">
        <v>81023</v>
      </c>
      <c r="G20" s="215">
        <v>74101</v>
      </c>
      <c r="H20" s="450">
        <v>75514</v>
      </c>
      <c r="I20" s="215">
        <v>66198</v>
      </c>
      <c r="J20" s="450">
        <v>69037</v>
      </c>
      <c r="K20" s="215">
        <v>60268</v>
      </c>
      <c r="L20" s="450">
        <v>62112</v>
      </c>
      <c r="M20" s="215">
        <v>42118</v>
      </c>
      <c r="N20" s="450">
        <v>43543</v>
      </c>
    </row>
    <row r="21" spans="1:14">
      <c r="A21" s="304"/>
      <c r="B21" s="392"/>
      <c r="C21" s="392"/>
      <c r="D21" s="436" t="s">
        <v>713</v>
      </c>
      <c r="E21" s="215">
        <v>1342</v>
      </c>
      <c r="F21" s="450">
        <v>1334</v>
      </c>
      <c r="G21" s="215">
        <v>1342</v>
      </c>
      <c r="H21" s="450">
        <v>1302</v>
      </c>
      <c r="I21" s="215">
        <v>663</v>
      </c>
      <c r="J21" s="450">
        <v>766</v>
      </c>
      <c r="K21" s="215">
        <v>653</v>
      </c>
      <c r="L21" s="450">
        <v>764</v>
      </c>
      <c r="M21" s="215">
        <v>734</v>
      </c>
      <c r="N21" s="450">
        <v>705</v>
      </c>
    </row>
    <row r="22" spans="1:14">
      <c r="A22" s="304"/>
      <c r="B22" s="392"/>
      <c r="C22" s="392"/>
      <c r="D22" s="436" t="s">
        <v>595</v>
      </c>
      <c r="E22" s="215">
        <v>7560</v>
      </c>
      <c r="F22" s="450">
        <v>5589</v>
      </c>
      <c r="G22" s="215">
        <v>7776</v>
      </c>
      <c r="H22" s="450">
        <v>5648</v>
      </c>
      <c r="I22" s="215">
        <v>8240</v>
      </c>
      <c r="J22" s="450">
        <v>6206</v>
      </c>
      <c r="K22" s="215">
        <v>8657</v>
      </c>
      <c r="L22" s="450">
        <v>6407</v>
      </c>
      <c r="M22" s="215">
        <v>7182</v>
      </c>
      <c r="N22" s="450">
        <v>5609</v>
      </c>
    </row>
    <row r="23" spans="1:14">
      <c r="A23" s="304"/>
      <c r="B23" s="392"/>
      <c r="C23" s="392"/>
      <c r="D23" s="436" t="s">
        <v>253</v>
      </c>
      <c r="E23" s="215">
        <v>1715</v>
      </c>
      <c r="F23" s="450">
        <v>1665</v>
      </c>
      <c r="G23" s="215">
        <v>1770</v>
      </c>
      <c r="H23" s="450">
        <v>1683</v>
      </c>
      <c r="I23" s="215">
        <v>1115</v>
      </c>
      <c r="J23" s="450">
        <v>908</v>
      </c>
      <c r="K23" s="215">
        <v>1006</v>
      </c>
      <c r="L23" s="450">
        <v>1047</v>
      </c>
      <c r="M23" s="215">
        <v>1010</v>
      </c>
      <c r="N23" s="450">
        <v>965</v>
      </c>
    </row>
    <row r="24" spans="1:14" ht="26.25" customHeight="1">
      <c r="A24" s="304"/>
      <c r="B24" s="112" t="s">
        <v>599</v>
      </c>
      <c r="C24" s="1520" t="s">
        <v>1033</v>
      </c>
      <c r="D24" s="1521"/>
      <c r="E24" s="787">
        <f>SUM(E25:E29)</f>
        <v>117135</v>
      </c>
      <c r="F24" s="788">
        <f>SUM(F25:F29)</f>
        <v>102372</v>
      </c>
      <c r="G24" s="787">
        <f>SUM(G25:G29)</f>
        <v>125549</v>
      </c>
      <c r="H24" s="788">
        <f>SUM(H25:H29)</f>
        <v>109734</v>
      </c>
      <c r="I24" s="787">
        <f t="shared" ref="I24:N24" si="4">SUM(I25:I29)</f>
        <v>140270</v>
      </c>
      <c r="J24" s="788">
        <f t="shared" si="4"/>
        <v>120025</v>
      </c>
      <c r="K24" s="787">
        <f t="shared" si="4"/>
        <v>150935</v>
      </c>
      <c r="L24" s="788">
        <f t="shared" si="4"/>
        <v>129496</v>
      </c>
      <c r="M24" s="787">
        <f t="shared" si="4"/>
        <v>174702</v>
      </c>
      <c r="N24" s="788">
        <f t="shared" si="4"/>
        <v>151526</v>
      </c>
    </row>
    <row r="25" spans="1:14">
      <c r="A25" s="304"/>
      <c r="B25" s="392"/>
      <c r="C25" s="392"/>
      <c r="D25" s="436" t="s">
        <v>1223</v>
      </c>
      <c r="E25" s="215">
        <v>103513</v>
      </c>
      <c r="F25" s="450">
        <v>92904</v>
      </c>
      <c r="G25" s="215">
        <v>111645</v>
      </c>
      <c r="H25" s="450">
        <v>99863</v>
      </c>
      <c r="I25" s="215">
        <v>125067</v>
      </c>
      <c r="J25" s="450">
        <v>108532</v>
      </c>
      <c r="K25" s="215">
        <v>135644</v>
      </c>
      <c r="L25" s="450">
        <v>117659</v>
      </c>
      <c r="M25" s="215">
        <v>157397</v>
      </c>
      <c r="N25" s="450">
        <v>138413</v>
      </c>
    </row>
    <row r="26" spans="1:14">
      <c r="A26" s="304"/>
      <c r="B26" s="392"/>
      <c r="C26" s="392"/>
      <c r="D26" s="436" t="s">
        <v>1224</v>
      </c>
      <c r="E26" s="215">
        <v>2090</v>
      </c>
      <c r="F26" s="450">
        <v>750</v>
      </c>
      <c r="G26" s="215">
        <v>2086</v>
      </c>
      <c r="H26" s="450">
        <v>756</v>
      </c>
      <c r="I26" s="215">
        <v>2076</v>
      </c>
      <c r="J26" s="450">
        <v>771</v>
      </c>
      <c r="K26" s="215">
        <v>2073</v>
      </c>
      <c r="L26" s="450">
        <v>774</v>
      </c>
      <c r="M26" s="215">
        <v>2075</v>
      </c>
      <c r="N26" s="450">
        <v>772</v>
      </c>
    </row>
    <row r="27" spans="1:14">
      <c r="A27" s="304"/>
      <c r="B27" s="392"/>
      <c r="C27" s="392"/>
      <c r="D27" s="436" t="s">
        <v>595</v>
      </c>
      <c r="E27" s="215">
        <v>9439</v>
      </c>
      <c r="F27" s="450">
        <v>6808</v>
      </c>
      <c r="G27" s="215">
        <v>9524</v>
      </c>
      <c r="H27" s="450">
        <v>7019</v>
      </c>
      <c r="I27" s="215">
        <v>9469</v>
      </c>
      <c r="J27" s="450">
        <v>7081</v>
      </c>
      <c r="K27" s="215">
        <v>9615</v>
      </c>
      <c r="L27" s="450">
        <v>7340</v>
      </c>
      <c r="M27" s="215">
        <v>11418</v>
      </c>
      <c r="N27" s="450">
        <v>8702</v>
      </c>
    </row>
    <row r="28" spans="1:14">
      <c r="A28" s="304"/>
      <c r="B28" s="392"/>
      <c r="C28" s="392"/>
      <c r="D28" s="436" t="s">
        <v>253</v>
      </c>
      <c r="E28" s="145" t="s">
        <v>570</v>
      </c>
      <c r="F28" s="146" t="s">
        <v>570</v>
      </c>
      <c r="G28" s="215" t="s">
        <v>570</v>
      </c>
      <c r="H28" s="450" t="s">
        <v>570</v>
      </c>
      <c r="I28" s="215">
        <v>600</v>
      </c>
      <c r="J28" s="450">
        <v>785</v>
      </c>
      <c r="K28" s="215">
        <v>601</v>
      </c>
      <c r="L28" s="450">
        <v>732</v>
      </c>
      <c r="M28" s="215">
        <v>675</v>
      </c>
      <c r="N28" s="450">
        <v>745</v>
      </c>
    </row>
    <row r="29" spans="1:14">
      <c r="A29" s="304"/>
      <c r="B29" s="392"/>
      <c r="C29" s="392"/>
      <c r="D29" s="436" t="s">
        <v>603</v>
      </c>
      <c r="E29" s="215">
        <v>2093</v>
      </c>
      <c r="F29" s="450">
        <v>1910</v>
      </c>
      <c r="G29" s="215">
        <v>2294</v>
      </c>
      <c r="H29" s="450">
        <v>2096</v>
      </c>
      <c r="I29" s="215">
        <v>3058</v>
      </c>
      <c r="J29" s="450">
        <v>2856</v>
      </c>
      <c r="K29" s="215">
        <v>3002</v>
      </c>
      <c r="L29" s="450">
        <v>2991</v>
      </c>
      <c r="M29" s="215">
        <v>3137</v>
      </c>
      <c r="N29" s="450">
        <v>2894</v>
      </c>
    </row>
    <row r="30" spans="1:14">
      <c r="A30" s="791">
        <v>2</v>
      </c>
      <c r="B30" s="1518" t="s">
        <v>1559</v>
      </c>
      <c r="C30" s="1518"/>
      <c r="D30" s="1519"/>
      <c r="E30" s="442">
        <v>15960</v>
      </c>
      <c r="F30" s="443">
        <v>13538</v>
      </c>
      <c r="G30" s="442">
        <v>18120</v>
      </c>
      <c r="H30" s="443">
        <v>15153</v>
      </c>
      <c r="I30" s="442">
        <v>19400</v>
      </c>
      <c r="J30" s="443">
        <v>17817</v>
      </c>
      <c r="K30" s="442">
        <v>20667</v>
      </c>
      <c r="L30" s="443">
        <v>19460</v>
      </c>
      <c r="M30" s="442">
        <v>22916</v>
      </c>
      <c r="N30" s="443">
        <v>22832</v>
      </c>
    </row>
    <row r="31" spans="1:14" ht="27" customHeight="1">
      <c r="A31" s="770">
        <v>3</v>
      </c>
      <c r="B31" s="1520" t="s">
        <v>1494</v>
      </c>
      <c r="C31" s="1538"/>
      <c r="D31" s="1539"/>
      <c r="E31" s="442" t="s">
        <v>570</v>
      </c>
      <c r="F31" s="443" t="s">
        <v>570</v>
      </c>
      <c r="G31" s="442" t="s">
        <v>570</v>
      </c>
      <c r="H31" s="443" t="s">
        <v>570</v>
      </c>
      <c r="I31" s="442" t="s">
        <v>570</v>
      </c>
      <c r="J31" s="443" t="s">
        <v>570</v>
      </c>
      <c r="K31" s="442" t="s">
        <v>570</v>
      </c>
      <c r="L31" s="443" t="s">
        <v>570</v>
      </c>
      <c r="M31" s="442" t="s">
        <v>570</v>
      </c>
      <c r="N31" s="443" t="s">
        <v>570</v>
      </c>
    </row>
    <row r="32" spans="1:14">
      <c r="A32" s="793">
        <v>4</v>
      </c>
      <c r="B32" s="1516" t="s">
        <v>0</v>
      </c>
      <c r="C32" s="1516"/>
      <c r="D32" s="1517"/>
      <c r="E32" s="445">
        <v>772</v>
      </c>
      <c r="F32" s="446">
        <v>505</v>
      </c>
      <c r="G32" s="445">
        <v>844</v>
      </c>
      <c r="H32" s="446">
        <v>857</v>
      </c>
      <c r="I32" s="445">
        <v>893</v>
      </c>
      <c r="J32" s="446">
        <v>953</v>
      </c>
      <c r="K32" s="445">
        <v>1021</v>
      </c>
      <c r="L32" s="446">
        <v>842</v>
      </c>
      <c r="M32" s="445">
        <v>1280</v>
      </c>
      <c r="N32" s="446">
        <v>959</v>
      </c>
    </row>
    <row r="33" spans="1:14">
      <c r="A33" s="448"/>
      <c r="B33" s="448"/>
      <c r="C33" s="448"/>
      <c r="D33" s="448"/>
      <c r="E33" s="448"/>
      <c r="F33" s="448"/>
      <c r="H33" s="903" t="s">
        <v>960</v>
      </c>
      <c r="I33" s="499" t="s">
        <v>649</v>
      </c>
      <c r="J33" s="499"/>
      <c r="K33" s="904"/>
      <c r="L33" s="904"/>
      <c r="M33" s="904"/>
      <c r="N33" s="904"/>
    </row>
    <row r="34" spans="1:14">
      <c r="A34" s="448"/>
      <c r="B34" s="448"/>
      <c r="C34" s="448"/>
      <c r="D34" s="448"/>
      <c r="E34" s="448"/>
      <c r="F34" s="448"/>
      <c r="H34" s="904"/>
      <c r="I34" s="499" t="s">
        <v>650</v>
      </c>
      <c r="J34" s="499"/>
      <c r="K34" s="904"/>
      <c r="L34" s="904"/>
      <c r="M34" s="904"/>
      <c r="N34" s="904"/>
    </row>
    <row r="35" spans="1:14">
      <c r="A35" s="448"/>
      <c r="B35" s="448"/>
      <c r="C35" s="448"/>
      <c r="D35" s="448"/>
      <c r="E35" s="448"/>
      <c r="F35" s="448"/>
      <c r="H35" s="904"/>
      <c r="I35" s="499" t="s">
        <v>647</v>
      </c>
      <c r="J35" s="499"/>
      <c r="K35" s="904"/>
      <c r="L35" s="904"/>
      <c r="M35" s="904"/>
      <c r="N35" s="904"/>
    </row>
    <row r="36" spans="1:14">
      <c r="A36" s="448"/>
      <c r="B36" s="448"/>
      <c r="C36" s="448"/>
      <c r="D36" s="448"/>
      <c r="E36" s="448"/>
      <c r="F36" s="448"/>
      <c r="H36" s="904"/>
      <c r="I36" s="499" t="s">
        <v>838</v>
      </c>
      <c r="J36" s="499"/>
      <c r="K36" s="904"/>
      <c r="L36" s="904"/>
      <c r="M36" s="904"/>
      <c r="N36" s="904"/>
    </row>
    <row r="37" spans="1:14">
      <c r="A37" s="448"/>
      <c r="B37" s="448"/>
      <c r="C37" s="448"/>
      <c r="D37" s="448"/>
      <c r="E37" s="448"/>
      <c r="F37" s="448"/>
      <c r="H37" s="904"/>
      <c r="I37" s="499" t="s">
        <v>601</v>
      </c>
      <c r="J37" s="499"/>
      <c r="K37" s="904"/>
      <c r="L37" s="904"/>
      <c r="M37" s="904"/>
      <c r="N37" s="904"/>
    </row>
    <row r="38" spans="1:14">
      <c r="A38" s="448"/>
      <c r="B38" s="448"/>
      <c r="C38" s="448"/>
      <c r="D38" s="448"/>
      <c r="E38" s="448"/>
      <c r="F38" s="448"/>
      <c r="H38" s="904"/>
      <c r="I38" s="499" t="s">
        <v>602</v>
      </c>
      <c r="J38" s="499"/>
      <c r="K38" s="904"/>
      <c r="L38" s="904"/>
      <c r="M38" s="904"/>
      <c r="N38" s="904"/>
    </row>
    <row r="39" spans="1:14">
      <c r="A39" s="448"/>
      <c r="B39" s="448"/>
      <c r="C39" s="448"/>
      <c r="D39" s="448"/>
      <c r="E39" s="448"/>
      <c r="F39" s="448"/>
      <c r="H39" s="904"/>
      <c r="I39" s="499" t="s">
        <v>648</v>
      </c>
      <c r="J39" s="499"/>
      <c r="K39" s="904"/>
      <c r="L39" s="904"/>
      <c r="M39" s="904"/>
      <c r="N39" s="904"/>
    </row>
    <row r="40" spans="1:14">
      <c r="A40" s="36"/>
      <c r="B40" s="36"/>
      <c r="C40" s="36"/>
      <c r="D40" s="36"/>
      <c r="E40" s="36"/>
      <c r="F40" s="36"/>
      <c r="G40" s="36"/>
      <c r="H40" s="36"/>
      <c r="I40" s="36"/>
      <c r="J40" s="36"/>
      <c r="K40" s="36"/>
      <c r="L40" s="36"/>
      <c r="M40" s="36"/>
      <c r="N40" s="36"/>
    </row>
    <row r="41" spans="1:14">
      <c r="A41" s="36"/>
      <c r="B41" s="36"/>
      <c r="C41" s="36"/>
      <c r="D41" s="36"/>
      <c r="E41" s="36"/>
      <c r="F41" s="36"/>
      <c r="G41" s="36"/>
      <c r="H41" s="36"/>
      <c r="I41" s="36"/>
      <c r="J41" s="36"/>
      <c r="K41" s="36"/>
      <c r="L41" s="36"/>
      <c r="M41" s="36"/>
      <c r="N41" s="36"/>
    </row>
    <row r="42" spans="1:14">
      <c r="A42" s="36"/>
      <c r="B42" s="36"/>
      <c r="C42" s="36"/>
      <c r="D42" s="36"/>
      <c r="E42" s="36"/>
      <c r="F42" s="36"/>
      <c r="G42" s="36"/>
      <c r="H42" s="36"/>
      <c r="I42" s="36"/>
      <c r="J42" s="36"/>
      <c r="K42" s="36"/>
      <c r="L42" s="36"/>
      <c r="M42" s="36"/>
      <c r="N42" s="36"/>
    </row>
    <row r="43" spans="1:14">
      <c r="A43" s="36"/>
      <c r="B43" s="36"/>
      <c r="C43" s="36"/>
      <c r="D43" s="36"/>
      <c r="E43" s="36"/>
      <c r="F43" s="36"/>
      <c r="G43" s="36"/>
      <c r="H43" s="36"/>
      <c r="I43" s="36"/>
      <c r="J43" s="36"/>
      <c r="K43" s="36"/>
      <c r="L43" s="36"/>
      <c r="M43" s="36"/>
      <c r="N43" s="36"/>
    </row>
    <row r="44" spans="1:14">
      <c r="A44" s="36"/>
      <c r="B44" s="36"/>
      <c r="C44" s="36"/>
      <c r="D44" s="36"/>
      <c r="E44" s="36"/>
      <c r="F44" s="36"/>
      <c r="G44" s="36"/>
      <c r="H44" s="36"/>
      <c r="I44" s="36"/>
      <c r="J44" s="36"/>
      <c r="K44" s="36"/>
      <c r="L44" s="36"/>
      <c r="M44" s="36"/>
      <c r="N44" s="36"/>
    </row>
  </sheetData>
  <mergeCells count="18">
    <mergeCell ref="A1:N1"/>
    <mergeCell ref="E4:N4"/>
    <mergeCell ref="A2:N2"/>
    <mergeCell ref="M5:N5"/>
    <mergeCell ref="E5:F5"/>
    <mergeCell ref="G5:H5"/>
    <mergeCell ref="I5:J5"/>
    <mergeCell ref="K5:L5"/>
    <mergeCell ref="A7:D7"/>
    <mergeCell ref="A4:D6"/>
    <mergeCell ref="C9:D9"/>
    <mergeCell ref="B32:D32"/>
    <mergeCell ref="C19:D19"/>
    <mergeCell ref="C24:D24"/>
    <mergeCell ref="B31:D31"/>
    <mergeCell ref="B30:D30"/>
    <mergeCell ref="B8:D8"/>
    <mergeCell ref="C14:D14"/>
  </mergeCells>
  <phoneticPr fontId="0" type="noConversion"/>
  <printOptions horizontalCentered="1" verticalCentered="1"/>
  <pageMargins left="0.1" right="0.1" top="0.1" bottom="0.1" header="0.4" footer="0.1"/>
  <pageSetup paperSize="9" orientation="landscape" blackAndWhite="1" r:id="rId1"/>
  <headerFooter alignWithMargins="0"/>
</worksheet>
</file>

<file path=xl/worksheets/sheet3.xml><?xml version="1.0" encoding="utf-8"?>
<worksheet xmlns="http://schemas.openxmlformats.org/spreadsheetml/2006/main" xmlns:r="http://schemas.openxmlformats.org/officeDocument/2006/relationships">
  <sheetPr codeName="Sheet10"/>
  <dimension ref="A1:J44"/>
  <sheetViews>
    <sheetView showGridLines="0" workbookViewId="0">
      <selection activeCell="M32" sqref="M32"/>
    </sheetView>
  </sheetViews>
  <sheetFormatPr defaultRowHeight="12.75"/>
  <sheetData>
    <row r="1" spans="1:10">
      <c r="J1" s="22"/>
    </row>
    <row r="2" spans="1:10">
      <c r="J2" s="22"/>
    </row>
    <row r="3" spans="1:10">
      <c r="J3" s="22"/>
    </row>
    <row r="4" spans="1:10">
      <c r="J4" s="22"/>
    </row>
    <row r="5" spans="1:10">
      <c r="J5" s="22"/>
    </row>
    <row r="6" spans="1:10" ht="35.25">
      <c r="A6" s="1274" t="s">
        <v>262</v>
      </c>
      <c r="B6" s="1274"/>
      <c r="C6" s="1274"/>
      <c r="D6" s="1274"/>
      <c r="E6" s="1274"/>
      <c r="F6" s="1274"/>
      <c r="G6" s="1274"/>
      <c r="H6" s="1274"/>
      <c r="I6" s="102"/>
      <c r="J6" s="22"/>
    </row>
    <row r="7" spans="1:10">
      <c r="J7" s="22"/>
    </row>
    <row r="8" spans="1:10">
      <c r="J8" s="22"/>
    </row>
    <row r="9" spans="1:10">
      <c r="J9" s="22"/>
    </row>
    <row r="10" spans="1:10" ht="18.75">
      <c r="A10" s="1275" t="s">
        <v>1498</v>
      </c>
      <c r="B10" s="1276"/>
      <c r="C10" s="1276"/>
      <c r="D10" s="1276"/>
      <c r="E10" s="1276"/>
      <c r="F10" s="1276"/>
      <c r="G10" s="1276"/>
      <c r="H10" s="1276"/>
      <c r="I10" s="103"/>
      <c r="J10" s="22"/>
    </row>
    <row r="11" spans="1:10" ht="18.75">
      <c r="A11" s="1276"/>
      <c r="B11" s="1276"/>
      <c r="C11" s="1276"/>
      <c r="D11" s="1276"/>
      <c r="E11" s="1276"/>
      <c r="F11" s="1276"/>
      <c r="G11" s="1276"/>
      <c r="H11" s="1276"/>
      <c r="I11" s="103"/>
      <c r="J11" s="22"/>
    </row>
    <row r="12" spans="1:10" ht="18.75">
      <c r="A12" s="1276"/>
      <c r="B12" s="1276"/>
      <c r="C12" s="1276"/>
      <c r="D12" s="1276"/>
      <c r="E12" s="1276"/>
      <c r="F12" s="1276"/>
      <c r="G12" s="1276"/>
      <c r="H12" s="1276"/>
      <c r="I12" s="103"/>
    </row>
    <row r="13" spans="1:10" ht="18.75">
      <c r="A13" s="1276"/>
      <c r="B13" s="1276"/>
      <c r="C13" s="1276"/>
      <c r="D13" s="1276"/>
      <c r="E13" s="1276"/>
      <c r="F13" s="1276"/>
      <c r="G13" s="1276"/>
      <c r="H13" s="1276"/>
      <c r="I13" s="103"/>
    </row>
    <row r="14" spans="1:10" ht="18.75">
      <c r="A14" s="1276"/>
      <c r="B14" s="1276"/>
      <c r="C14" s="1276"/>
      <c r="D14" s="1276"/>
      <c r="E14" s="1276"/>
      <c r="F14" s="1276"/>
      <c r="G14" s="1276"/>
      <c r="H14" s="1276"/>
      <c r="I14" s="103"/>
    </row>
    <row r="15" spans="1:10">
      <c r="A15" s="1276"/>
      <c r="B15" s="1276"/>
      <c r="C15" s="1276"/>
      <c r="D15" s="1276"/>
      <c r="E15" s="1276"/>
      <c r="F15" s="1276"/>
      <c r="G15" s="1276"/>
      <c r="H15" s="1276"/>
      <c r="I15" s="104"/>
    </row>
    <row r="16" spans="1:10">
      <c r="A16" s="1276"/>
      <c r="B16" s="1276"/>
      <c r="C16" s="1276"/>
      <c r="D16" s="1276"/>
      <c r="E16" s="1276"/>
      <c r="F16" s="1276"/>
      <c r="G16" s="1276"/>
      <c r="H16" s="1276"/>
      <c r="I16" s="104"/>
    </row>
    <row r="17" spans="1:9">
      <c r="A17" s="1276"/>
      <c r="B17" s="1276"/>
      <c r="C17" s="1276"/>
      <c r="D17" s="1276"/>
      <c r="E17" s="1276"/>
      <c r="F17" s="1276"/>
      <c r="G17" s="1276"/>
      <c r="H17" s="1276"/>
    </row>
    <row r="18" spans="1:9">
      <c r="A18" s="1276"/>
      <c r="B18" s="1276"/>
      <c r="C18" s="1276"/>
      <c r="D18" s="1276"/>
      <c r="E18" s="1276"/>
      <c r="F18" s="1276"/>
      <c r="G18" s="1276"/>
      <c r="H18" s="1276"/>
    </row>
    <row r="19" spans="1:9" ht="14.1" customHeight="1">
      <c r="A19" s="1276"/>
      <c r="B19" s="1276"/>
      <c r="C19" s="1276"/>
      <c r="D19" s="1276"/>
      <c r="E19" s="1276"/>
      <c r="F19" s="1276"/>
      <c r="G19" s="1276"/>
      <c r="H19" s="1276"/>
      <c r="I19" s="103"/>
    </row>
    <row r="20" spans="1:9" ht="18.75">
      <c r="A20" s="1276"/>
      <c r="B20" s="1276"/>
      <c r="C20" s="1276"/>
      <c r="D20" s="1276"/>
      <c r="E20" s="1276"/>
      <c r="F20" s="1276"/>
      <c r="G20" s="1276"/>
      <c r="H20" s="1276"/>
      <c r="I20" s="103"/>
    </row>
    <row r="21" spans="1:9" ht="18.75">
      <c r="A21" s="1276"/>
      <c r="B21" s="1276"/>
      <c r="C21" s="1276"/>
      <c r="D21" s="1276"/>
      <c r="E21" s="1276"/>
      <c r="F21" s="1276"/>
      <c r="G21" s="1276"/>
      <c r="H21" s="1276"/>
      <c r="I21" s="103"/>
    </row>
    <row r="22" spans="1:9" ht="18.75">
      <c r="A22" s="1276"/>
      <c r="B22" s="1276"/>
      <c r="C22" s="1276"/>
      <c r="D22" s="1276"/>
      <c r="E22" s="1276"/>
      <c r="F22" s="1276"/>
      <c r="G22" s="1276"/>
      <c r="H22" s="1276"/>
      <c r="I22" s="103"/>
    </row>
    <row r="23" spans="1:9" ht="18.75">
      <c r="A23" s="1276"/>
      <c r="B23" s="1276"/>
      <c r="C23" s="1276"/>
      <c r="D23" s="1276"/>
      <c r="E23" s="1276"/>
      <c r="F23" s="1276"/>
      <c r="G23" s="1276"/>
      <c r="H23" s="1276"/>
      <c r="I23" s="103"/>
    </row>
    <row r="24" spans="1:9" ht="18.75">
      <c r="A24" s="1276"/>
      <c r="B24" s="1276"/>
      <c r="C24" s="1276"/>
      <c r="D24" s="1276"/>
      <c r="E24" s="1276"/>
      <c r="F24" s="1276"/>
      <c r="G24" s="1276"/>
      <c r="H24" s="1276"/>
      <c r="I24" s="103"/>
    </row>
    <row r="25" spans="1:9" ht="18.75">
      <c r="A25" s="1276"/>
      <c r="B25" s="1276"/>
      <c r="C25" s="1276"/>
      <c r="D25" s="1276"/>
      <c r="E25" s="1276"/>
      <c r="F25" s="1276"/>
      <c r="G25" s="1276"/>
      <c r="H25" s="1276"/>
      <c r="I25" s="105"/>
    </row>
    <row r="26" spans="1:9" ht="18.75">
      <c r="A26" s="1276"/>
      <c r="B26" s="1276"/>
      <c r="C26" s="1276"/>
      <c r="D26" s="1276"/>
      <c r="E26" s="1276"/>
      <c r="F26" s="1276"/>
      <c r="G26" s="1276"/>
      <c r="H26" s="1276"/>
      <c r="I26" s="105"/>
    </row>
    <row r="27" spans="1:9" ht="18.75">
      <c r="A27" s="1276"/>
      <c r="B27" s="1276"/>
      <c r="C27" s="1276"/>
      <c r="D27" s="1276"/>
      <c r="E27" s="1276"/>
      <c r="F27" s="1276"/>
      <c r="G27" s="1276"/>
      <c r="H27" s="1276"/>
      <c r="I27" s="105"/>
    </row>
    <row r="28" spans="1:9" ht="18.75">
      <c r="A28" s="1276"/>
      <c r="B28" s="1276"/>
      <c r="C28" s="1276"/>
      <c r="D28" s="1276"/>
      <c r="E28" s="1276"/>
      <c r="F28" s="1276"/>
      <c r="G28" s="1276"/>
      <c r="H28" s="1276"/>
      <c r="I28" s="105"/>
    </row>
    <row r="29" spans="1:9">
      <c r="A29" s="1276"/>
      <c r="B29" s="1276"/>
      <c r="C29" s="1276"/>
      <c r="D29" s="1276"/>
      <c r="E29" s="1276"/>
      <c r="F29" s="1276"/>
      <c r="G29" s="1276"/>
      <c r="H29" s="1276"/>
    </row>
    <row r="30" spans="1:9">
      <c r="A30" s="1276"/>
      <c r="B30" s="1276"/>
      <c r="C30" s="1276"/>
      <c r="D30" s="1276"/>
      <c r="E30" s="1276"/>
      <c r="F30" s="1276"/>
      <c r="G30" s="1276"/>
      <c r="H30" s="1276"/>
    </row>
    <row r="31" spans="1:9">
      <c r="A31" s="1276"/>
      <c r="B31" s="1276"/>
      <c r="C31" s="1276"/>
      <c r="D31" s="1276"/>
      <c r="E31" s="1276"/>
      <c r="F31" s="1276"/>
      <c r="G31" s="1276"/>
      <c r="H31" s="1276"/>
    </row>
    <row r="32" spans="1:9">
      <c r="A32" s="1277"/>
      <c r="B32" s="1277"/>
      <c r="C32" s="1277"/>
      <c r="D32" s="1277"/>
      <c r="E32" s="1277"/>
      <c r="F32" s="1277"/>
      <c r="G32" s="1277"/>
      <c r="H32" s="1277"/>
      <c r="I32" s="107"/>
    </row>
    <row r="33" spans="1:9">
      <c r="A33" s="1277"/>
      <c r="B33" s="1277"/>
      <c r="C33" s="1277"/>
      <c r="D33" s="1277"/>
      <c r="E33" s="1277"/>
      <c r="F33" s="1277"/>
      <c r="G33" s="1277"/>
      <c r="H33" s="1277"/>
      <c r="I33" s="107"/>
    </row>
    <row r="34" spans="1:9">
      <c r="A34" s="1277"/>
      <c r="B34" s="1277"/>
      <c r="C34" s="1277"/>
      <c r="D34" s="1277"/>
      <c r="E34" s="1277"/>
      <c r="F34" s="1277"/>
      <c r="G34" s="1277"/>
      <c r="H34" s="1277"/>
      <c r="I34" s="106"/>
    </row>
    <row r="35" spans="1:9">
      <c r="I35" s="106"/>
    </row>
    <row r="36" spans="1:9">
      <c r="I36" s="106"/>
    </row>
    <row r="37" spans="1:9">
      <c r="I37" s="106"/>
    </row>
    <row r="40" spans="1:9" ht="15.75">
      <c r="A40" s="1010"/>
      <c r="B40" s="1010"/>
      <c r="C40" s="1010"/>
      <c r="D40" s="1278" t="s">
        <v>1576</v>
      </c>
      <c r="E40" s="1278"/>
      <c r="F40" s="1278"/>
      <c r="G40" s="1278"/>
      <c r="H40" s="1278"/>
    </row>
    <row r="41" spans="1:9" ht="15.75">
      <c r="A41" s="1279" t="s">
        <v>275</v>
      </c>
      <c r="B41" s="1279"/>
      <c r="C41" s="1010"/>
      <c r="D41" s="1278" t="s">
        <v>77</v>
      </c>
      <c r="E41" s="1278"/>
      <c r="F41" s="1278"/>
      <c r="G41" s="1278"/>
      <c r="H41" s="1278"/>
    </row>
    <row r="42" spans="1:9" ht="15.75">
      <c r="A42" s="1266" t="s">
        <v>1631</v>
      </c>
      <c r="B42" s="1160"/>
      <c r="C42" s="1160"/>
      <c r="D42" s="1278" t="s">
        <v>276</v>
      </c>
      <c r="E42" s="1278"/>
      <c r="F42" s="1278"/>
      <c r="G42" s="1278"/>
      <c r="H42" s="1278"/>
    </row>
    <row r="43" spans="1:9" ht="15.75">
      <c r="A43" s="1010"/>
      <c r="B43" s="1010"/>
      <c r="C43" s="1010"/>
      <c r="D43" s="1278" t="s">
        <v>277</v>
      </c>
      <c r="E43" s="1278"/>
      <c r="F43" s="1278"/>
      <c r="G43" s="1278"/>
      <c r="H43" s="1278"/>
    </row>
    <row r="44" spans="1:9" ht="15">
      <c r="A44" s="954"/>
      <c r="B44" s="954"/>
      <c r="C44" s="954"/>
      <c r="D44" s="954"/>
      <c r="E44" s="954"/>
      <c r="F44" s="954"/>
      <c r="G44" s="954"/>
      <c r="H44" s="954"/>
    </row>
  </sheetData>
  <mergeCells count="7">
    <mergeCell ref="A6:H6"/>
    <mergeCell ref="A10:H34"/>
    <mergeCell ref="D43:H43"/>
    <mergeCell ref="A41:B41"/>
    <mergeCell ref="D41:H41"/>
    <mergeCell ref="D42:H42"/>
    <mergeCell ref="D40:H40"/>
  </mergeCells>
  <phoneticPr fontId="0" type="noConversion"/>
  <printOptions horizontalCentered="1"/>
  <pageMargins left="0.1" right="0.1" top="1" bottom="1" header="0.5" footer="0.5"/>
  <pageSetup paperSize="9" orientation="portrait" blackAndWhite="1" horizontalDpi="4294967295" r:id="rId1"/>
  <headerFooter alignWithMargins="0"/>
</worksheet>
</file>

<file path=xl/worksheets/sheet30.xml><?xml version="1.0" encoding="utf-8"?>
<worksheet xmlns="http://schemas.openxmlformats.org/spreadsheetml/2006/main" xmlns:r="http://schemas.openxmlformats.org/officeDocument/2006/relationships">
  <sheetPr codeName="Sheet30"/>
  <dimension ref="A1:N42"/>
  <sheetViews>
    <sheetView topLeftCell="B24" workbookViewId="0">
      <selection activeCell="G16" sqref="G16"/>
    </sheetView>
  </sheetViews>
  <sheetFormatPr defaultRowHeight="12.75"/>
  <cols>
    <col min="1" max="1" width="1.7109375" customWidth="1"/>
    <col min="2" max="2" width="3" customWidth="1"/>
    <col min="3" max="3" width="1.28515625" customWidth="1"/>
    <col min="4" max="4" width="44.42578125" customWidth="1"/>
    <col min="5" max="14" width="9.28515625" customWidth="1"/>
  </cols>
  <sheetData>
    <row r="1" spans="1:14" ht="12.75" customHeight="1">
      <c r="A1" s="1393" t="s">
        <v>416</v>
      </c>
      <c r="B1" s="1393"/>
      <c r="C1" s="1393"/>
      <c r="D1" s="1393"/>
      <c r="E1" s="1393"/>
      <c r="F1" s="1393"/>
      <c r="G1" s="1393"/>
      <c r="H1" s="1393"/>
      <c r="I1" s="1393"/>
      <c r="J1" s="1393"/>
      <c r="K1" s="1393"/>
      <c r="L1" s="1393"/>
      <c r="M1" s="1393"/>
      <c r="N1" s="1393"/>
    </row>
    <row r="2" spans="1:14" ht="16.5">
      <c r="A2" s="1494" t="str">
        <f>CONCATENATE("Students by sex in different type of Professional &amp; Technical Educational Institutions in the district of ",District!A1)</f>
        <v>Students by sex in different type of Professional &amp; Technical Educational Institutions in the district of Jalpaiguri</v>
      </c>
      <c r="B2" s="1494"/>
      <c r="C2" s="1494"/>
      <c r="D2" s="1494"/>
      <c r="E2" s="1494"/>
      <c r="F2" s="1494"/>
      <c r="G2" s="1494"/>
      <c r="H2" s="1494"/>
      <c r="I2" s="1494"/>
      <c r="J2" s="1494"/>
      <c r="K2" s="1494"/>
      <c r="L2" s="1494"/>
      <c r="M2" s="1494"/>
      <c r="N2" s="1494"/>
    </row>
    <row r="3" spans="1:14" s="7" customFormat="1" ht="12" customHeight="1">
      <c r="D3" s="309"/>
      <c r="E3" s="309"/>
      <c r="F3" s="309"/>
      <c r="G3" s="309"/>
      <c r="H3" s="309"/>
      <c r="I3" s="309"/>
      <c r="J3" s="309"/>
      <c r="K3" s="309"/>
      <c r="L3" s="309"/>
      <c r="M3" s="309"/>
      <c r="N3" s="1056" t="s">
        <v>312</v>
      </c>
    </row>
    <row r="4" spans="1:14">
      <c r="A4" s="1293" t="s">
        <v>882</v>
      </c>
      <c r="B4" s="1502"/>
      <c r="C4" s="1502"/>
      <c r="D4" s="1294"/>
      <c r="E4" s="1553" t="s">
        <v>98</v>
      </c>
      <c r="F4" s="1553"/>
      <c r="G4" s="1553"/>
      <c r="H4" s="1553"/>
      <c r="I4" s="1553"/>
      <c r="J4" s="1553"/>
      <c r="K4" s="1553"/>
      <c r="L4" s="1553"/>
      <c r="M4" s="1553"/>
      <c r="N4" s="1554"/>
    </row>
    <row r="5" spans="1:14">
      <c r="A5" s="1295"/>
      <c r="B5" s="1552"/>
      <c r="C5" s="1552"/>
      <c r="D5" s="1296"/>
      <c r="E5" s="1290" t="s">
        <v>1110</v>
      </c>
      <c r="F5" s="1292"/>
      <c r="G5" s="1290" t="s">
        <v>1111</v>
      </c>
      <c r="H5" s="1292"/>
      <c r="I5" s="1290" t="s">
        <v>641</v>
      </c>
      <c r="J5" s="1292"/>
      <c r="K5" s="1291" t="s">
        <v>909</v>
      </c>
      <c r="L5" s="1292"/>
      <c r="M5" s="1291" t="s">
        <v>895</v>
      </c>
      <c r="N5" s="1292"/>
    </row>
    <row r="6" spans="1:14">
      <c r="A6" s="1295"/>
      <c r="B6" s="1552"/>
      <c r="C6" s="1552"/>
      <c r="D6" s="1296"/>
      <c r="E6" s="677" t="s">
        <v>332</v>
      </c>
      <c r="F6" s="677" t="s">
        <v>333</v>
      </c>
      <c r="G6" s="678" t="s">
        <v>332</v>
      </c>
      <c r="H6" s="654" t="s">
        <v>333</v>
      </c>
      <c r="I6" s="677" t="s">
        <v>332</v>
      </c>
      <c r="J6" s="677" t="s">
        <v>333</v>
      </c>
      <c r="K6" s="678" t="s">
        <v>332</v>
      </c>
      <c r="L6" s="654" t="s">
        <v>333</v>
      </c>
      <c r="M6" s="677" t="s">
        <v>332</v>
      </c>
      <c r="N6" s="654" t="s">
        <v>333</v>
      </c>
    </row>
    <row r="7" spans="1:14">
      <c r="A7" s="1549" t="s">
        <v>278</v>
      </c>
      <c r="B7" s="1550"/>
      <c r="C7" s="1550"/>
      <c r="D7" s="1551"/>
      <c r="E7" s="9" t="s">
        <v>279</v>
      </c>
      <c r="F7" s="9" t="s">
        <v>280</v>
      </c>
      <c r="G7" s="110" t="s">
        <v>281</v>
      </c>
      <c r="H7" s="113" t="s">
        <v>282</v>
      </c>
      <c r="I7" s="9" t="s">
        <v>283</v>
      </c>
      <c r="J7" s="18" t="s">
        <v>284</v>
      </c>
      <c r="K7" s="468" t="s">
        <v>301</v>
      </c>
      <c r="L7" s="144" t="s">
        <v>302</v>
      </c>
      <c r="M7" s="9" t="s">
        <v>303</v>
      </c>
      <c r="N7" s="144" t="s">
        <v>304</v>
      </c>
    </row>
    <row r="8" spans="1:14">
      <c r="A8" s="767">
        <v>1</v>
      </c>
      <c r="B8" s="1541" t="s">
        <v>1465</v>
      </c>
      <c r="C8" s="1541"/>
      <c r="D8" s="1542"/>
      <c r="E8" s="239">
        <f t="shared" ref="E8:J8" si="0">SUM(E9,E14,E17)</f>
        <v>6316</v>
      </c>
      <c r="F8" s="211">
        <f t="shared" si="0"/>
        <v>3226</v>
      </c>
      <c r="G8" s="223">
        <f t="shared" si="0"/>
        <v>6411</v>
      </c>
      <c r="H8" s="211">
        <f t="shared" si="0"/>
        <v>3431</v>
      </c>
      <c r="I8" s="223">
        <f t="shared" si="0"/>
        <v>6553</v>
      </c>
      <c r="J8" s="211">
        <f t="shared" si="0"/>
        <v>3861</v>
      </c>
      <c r="K8" s="223">
        <f>SUM(K9,K14,K17)</f>
        <v>6676</v>
      </c>
      <c r="L8" s="211">
        <f>SUM(L9,L14,L17)</f>
        <v>4171</v>
      </c>
      <c r="M8" s="223">
        <f>SUM(M9,M14,M17)</f>
        <v>6941</v>
      </c>
      <c r="N8" s="211">
        <f>SUM(N9,N14,N17)</f>
        <v>4157</v>
      </c>
    </row>
    <row r="9" spans="1:14">
      <c r="A9" s="764"/>
      <c r="B9" s="7" t="s">
        <v>598</v>
      </c>
      <c r="C9" s="111" t="s">
        <v>675</v>
      </c>
      <c r="D9" s="141"/>
      <c r="E9" s="795">
        <f>SUM(E10:E13)</f>
        <v>724</v>
      </c>
      <c r="F9" s="788">
        <f>SUM(F10:F13)</f>
        <v>143</v>
      </c>
      <c r="G9" s="795">
        <f>SUM(G10:G13)</f>
        <v>724</v>
      </c>
      <c r="H9" s="788">
        <f>SUM(H10:H13)</f>
        <v>179</v>
      </c>
      <c r="I9" s="795">
        <f t="shared" ref="I9:N9" si="1">SUM(I10:I13)</f>
        <v>673</v>
      </c>
      <c r="J9" s="788">
        <f t="shared" si="1"/>
        <v>235</v>
      </c>
      <c r="K9" s="795">
        <f t="shared" si="1"/>
        <v>613</v>
      </c>
      <c r="L9" s="788">
        <f t="shared" si="1"/>
        <v>295</v>
      </c>
      <c r="M9" s="795">
        <f t="shared" si="1"/>
        <v>701</v>
      </c>
      <c r="N9" s="788">
        <f t="shared" si="1"/>
        <v>279</v>
      </c>
    </row>
    <row r="10" spans="1:14">
      <c r="A10" s="764"/>
      <c r="B10" s="7"/>
      <c r="C10" s="7"/>
      <c r="D10" s="82" t="s">
        <v>676</v>
      </c>
      <c r="E10" s="147" t="s">
        <v>570</v>
      </c>
      <c r="F10" s="149" t="s">
        <v>570</v>
      </c>
      <c r="G10" s="148" t="s">
        <v>570</v>
      </c>
      <c r="H10" s="149" t="s">
        <v>570</v>
      </c>
      <c r="I10" s="148" t="s">
        <v>570</v>
      </c>
      <c r="J10" s="149" t="s">
        <v>570</v>
      </c>
      <c r="K10" s="148" t="s">
        <v>570</v>
      </c>
      <c r="L10" s="149" t="s">
        <v>570</v>
      </c>
      <c r="M10" s="148" t="s">
        <v>570</v>
      </c>
      <c r="N10" s="149" t="s">
        <v>570</v>
      </c>
    </row>
    <row r="11" spans="1:14">
      <c r="A11" s="764"/>
      <c r="B11" s="7"/>
      <c r="C11" s="7"/>
      <c r="D11" s="82" t="s">
        <v>259</v>
      </c>
      <c r="E11" s="796" t="s">
        <v>570</v>
      </c>
      <c r="F11" s="146" t="s">
        <v>570</v>
      </c>
      <c r="G11" s="145" t="s">
        <v>570</v>
      </c>
      <c r="H11" s="146" t="s">
        <v>570</v>
      </c>
      <c r="I11" s="145" t="s">
        <v>570</v>
      </c>
      <c r="J11" s="146" t="s">
        <v>570</v>
      </c>
      <c r="K11" s="145" t="s">
        <v>570</v>
      </c>
      <c r="L11" s="146" t="s">
        <v>570</v>
      </c>
      <c r="M11" s="145" t="s">
        <v>570</v>
      </c>
      <c r="N11" s="146" t="s">
        <v>570</v>
      </c>
    </row>
    <row r="12" spans="1:14">
      <c r="A12" s="764"/>
      <c r="B12" s="7"/>
      <c r="C12" s="7"/>
      <c r="D12" s="82" t="s">
        <v>677</v>
      </c>
      <c r="E12" s="147">
        <v>386</v>
      </c>
      <c r="F12" s="149">
        <v>82</v>
      </c>
      <c r="G12" s="148">
        <v>384</v>
      </c>
      <c r="H12" s="149">
        <v>114</v>
      </c>
      <c r="I12" s="148">
        <v>673</v>
      </c>
      <c r="J12" s="149">
        <v>235</v>
      </c>
      <c r="K12" s="148">
        <v>613</v>
      </c>
      <c r="L12" s="149">
        <v>295</v>
      </c>
      <c r="M12" s="148">
        <v>701</v>
      </c>
      <c r="N12" s="149">
        <v>279</v>
      </c>
    </row>
    <row r="13" spans="1:14">
      <c r="A13" s="764"/>
      <c r="B13" s="7"/>
      <c r="C13" s="7"/>
      <c r="D13" s="82" t="s">
        <v>1225</v>
      </c>
      <c r="E13" s="147">
        <v>338</v>
      </c>
      <c r="F13" s="149">
        <v>61</v>
      </c>
      <c r="G13" s="148">
        <v>340</v>
      </c>
      <c r="H13" s="149">
        <v>65</v>
      </c>
      <c r="I13" s="148" t="s">
        <v>570</v>
      </c>
      <c r="J13" s="149" t="s">
        <v>570</v>
      </c>
      <c r="K13" s="148" t="s">
        <v>570</v>
      </c>
      <c r="L13" s="149" t="s">
        <v>570</v>
      </c>
      <c r="M13" s="148" t="s">
        <v>570</v>
      </c>
      <c r="N13" s="149" t="s">
        <v>570</v>
      </c>
    </row>
    <row r="14" spans="1:14">
      <c r="A14" s="764"/>
      <c r="B14" s="7" t="s">
        <v>596</v>
      </c>
      <c r="C14" s="111" t="s">
        <v>678</v>
      </c>
      <c r="D14" s="142"/>
      <c r="E14" s="223">
        <f>IF(SUM(E15:E16)=0,"..",SUM(E15:E16))</f>
        <v>85</v>
      </c>
      <c r="F14" s="211">
        <f>SUM(F15:F16)</f>
        <v>170</v>
      </c>
      <c r="G14" s="223">
        <f>IF(SUM(G15:G16)=0,"..",SUM(G15:G16))</f>
        <v>99</v>
      </c>
      <c r="H14" s="211">
        <f>SUM(H15:H16)</f>
        <v>195</v>
      </c>
      <c r="I14" s="223">
        <f>IF(SUM(I15:I16)=0,"..",SUM(I15:I16))</f>
        <v>186</v>
      </c>
      <c r="J14" s="211">
        <f>SUM(J15:J16)</f>
        <v>273</v>
      </c>
      <c r="K14" s="223">
        <f>IF(SUM(K15:K16)=0,"..",SUM(K15:K16))</f>
        <v>193</v>
      </c>
      <c r="L14" s="211">
        <f>SUM(L15:L16)</f>
        <v>272</v>
      </c>
      <c r="M14" s="223">
        <f>IF(SUM(M15:M16)=0,"..",SUM(M15:M16))</f>
        <v>201</v>
      </c>
      <c r="N14" s="211">
        <f>SUM(N15:N16)</f>
        <v>261</v>
      </c>
    </row>
    <row r="15" spans="1:14" ht="25.5" customHeight="1">
      <c r="A15" s="764"/>
      <c r="B15" s="7"/>
      <c r="C15" s="7"/>
      <c r="D15" s="115" t="s">
        <v>1495</v>
      </c>
      <c r="E15" s="226">
        <v>85</v>
      </c>
      <c r="F15" s="450">
        <v>13</v>
      </c>
      <c r="G15" s="215">
        <v>99</v>
      </c>
      <c r="H15" s="450">
        <v>39</v>
      </c>
      <c r="I15" s="215">
        <v>186</v>
      </c>
      <c r="J15" s="450">
        <v>105</v>
      </c>
      <c r="K15" s="215">
        <v>193</v>
      </c>
      <c r="L15" s="450">
        <v>107</v>
      </c>
      <c r="M15" s="215">
        <v>201</v>
      </c>
      <c r="N15" s="450">
        <v>97</v>
      </c>
    </row>
    <row r="16" spans="1:14" ht="12.75" customHeight="1">
      <c r="A16" s="764"/>
      <c r="B16" s="7"/>
      <c r="C16" s="7"/>
      <c r="D16" s="82" t="s">
        <v>681</v>
      </c>
      <c r="E16" s="147" t="s">
        <v>570</v>
      </c>
      <c r="F16" s="149">
        <v>157</v>
      </c>
      <c r="G16" s="809" t="s">
        <v>570</v>
      </c>
      <c r="H16" s="149">
        <v>156</v>
      </c>
      <c r="I16" s="148" t="s">
        <v>570</v>
      </c>
      <c r="J16" s="149">
        <v>168</v>
      </c>
      <c r="K16" s="148" t="s">
        <v>570</v>
      </c>
      <c r="L16" s="149">
        <v>165</v>
      </c>
      <c r="M16" s="148" t="s">
        <v>570</v>
      </c>
      <c r="N16" s="149">
        <v>164</v>
      </c>
    </row>
    <row r="17" spans="1:14" ht="24" customHeight="1">
      <c r="A17" s="764"/>
      <c r="B17" s="112" t="s">
        <v>597</v>
      </c>
      <c r="C17" s="1543" t="s">
        <v>1231</v>
      </c>
      <c r="D17" s="1544"/>
      <c r="E17" s="210">
        <v>5507</v>
      </c>
      <c r="F17" s="241">
        <v>2913</v>
      </c>
      <c r="G17" s="210">
        <v>5588</v>
      </c>
      <c r="H17" s="241">
        <v>3057</v>
      </c>
      <c r="I17" s="210">
        <v>5694</v>
      </c>
      <c r="J17" s="241">
        <v>3353</v>
      </c>
      <c r="K17" s="210">
        <v>5870</v>
      </c>
      <c r="L17" s="241">
        <v>3604</v>
      </c>
      <c r="M17" s="210">
        <v>6039</v>
      </c>
      <c r="N17" s="241">
        <v>3617</v>
      </c>
    </row>
    <row r="18" spans="1:14">
      <c r="A18" s="768">
        <v>2</v>
      </c>
      <c r="B18" s="1541" t="s">
        <v>1466</v>
      </c>
      <c r="C18" s="1541"/>
      <c r="D18" s="1542"/>
      <c r="E18" s="239">
        <f t="shared" ref="E18:J18" si="2">SUM(E19,E26,E29)</f>
        <v>3890</v>
      </c>
      <c r="F18" s="211">
        <f t="shared" si="2"/>
        <v>945</v>
      </c>
      <c r="G18" s="223">
        <f t="shared" si="2"/>
        <v>3731</v>
      </c>
      <c r="H18" s="211">
        <f t="shared" si="2"/>
        <v>1271</v>
      </c>
      <c r="I18" s="223">
        <f t="shared" si="2"/>
        <v>4407</v>
      </c>
      <c r="J18" s="211">
        <f t="shared" si="2"/>
        <v>1165</v>
      </c>
      <c r="K18" s="223">
        <f>SUM(K19,K26,K29)</f>
        <v>4330</v>
      </c>
      <c r="L18" s="211">
        <f>SUM(L19,L26,L29)</f>
        <v>1104</v>
      </c>
      <c r="M18" s="223">
        <f>SUM(M19,M26,M29)</f>
        <v>4639</v>
      </c>
      <c r="N18" s="211">
        <f>SUM(N19,N26,N29)</f>
        <v>1527</v>
      </c>
    </row>
    <row r="19" spans="1:14">
      <c r="A19" s="764"/>
      <c r="B19" s="143" t="s">
        <v>598</v>
      </c>
      <c r="C19" s="111" t="s">
        <v>682</v>
      </c>
      <c r="D19" s="142"/>
      <c r="E19" s="795">
        <f t="shared" ref="E19:J19" si="3">SUM(E20:E25)</f>
        <v>3386</v>
      </c>
      <c r="F19" s="788">
        <f t="shared" si="3"/>
        <v>680</v>
      </c>
      <c r="G19" s="787">
        <f t="shared" si="3"/>
        <v>3212</v>
      </c>
      <c r="H19" s="788">
        <f t="shared" si="3"/>
        <v>997</v>
      </c>
      <c r="I19" s="787">
        <f t="shared" si="3"/>
        <v>3901</v>
      </c>
      <c r="J19" s="788">
        <f t="shared" si="3"/>
        <v>870</v>
      </c>
      <c r="K19" s="787">
        <f>SUM(K20:K25)</f>
        <v>4039</v>
      </c>
      <c r="L19" s="788">
        <f>SUM(L20:L25)</f>
        <v>913</v>
      </c>
      <c r="M19" s="787">
        <f>SUM(M20:M25)</f>
        <v>4296</v>
      </c>
      <c r="N19" s="788">
        <f>SUM(N20:N25)</f>
        <v>1298</v>
      </c>
    </row>
    <row r="20" spans="1:14" ht="25.5">
      <c r="A20" s="764"/>
      <c r="B20" s="7"/>
      <c r="C20" s="7"/>
      <c r="D20" s="115" t="s">
        <v>10</v>
      </c>
      <c r="E20" s="147" t="s">
        <v>570</v>
      </c>
      <c r="F20" s="149" t="s">
        <v>570</v>
      </c>
      <c r="G20" s="148" t="s">
        <v>570</v>
      </c>
      <c r="H20" s="149" t="s">
        <v>570</v>
      </c>
      <c r="I20" s="148" t="s">
        <v>570</v>
      </c>
      <c r="J20" s="149" t="s">
        <v>570</v>
      </c>
      <c r="K20" s="148" t="s">
        <v>570</v>
      </c>
      <c r="L20" s="149" t="s">
        <v>570</v>
      </c>
      <c r="M20" s="148" t="s">
        <v>570</v>
      </c>
      <c r="N20" s="149" t="s">
        <v>570</v>
      </c>
    </row>
    <row r="21" spans="1:14">
      <c r="A21" s="764"/>
      <c r="B21" s="7"/>
      <c r="C21" s="7"/>
      <c r="D21" s="82" t="s">
        <v>684</v>
      </c>
      <c r="E21" s="148">
        <v>1346</v>
      </c>
      <c r="F21" s="149">
        <v>133</v>
      </c>
      <c r="G21" s="148">
        <v>1339</v>
      </c>
      <c r="H21" s="149">
        <v>138</v>
      </c>
      <c r="I21" s="148">
        <v>1425</v>
      </c>
      <c r="J21" s="149">
        <v>142</v>
      </c>
      <c r="K21" s="148">
        <v>1472</v>
      </c>
      <c r="L21" s="149">
        <v>134</v>
      </c>
      <c r="M21" s="148">
        <v>1553</v>
      </c>
      <c r="N21" s="149">
        <v>143</v>
      </c>
    </row>
    <row r="22" spans="1:14">
      <c r="A22" s="764"/>
      <c r="B22" s="7"/>
      <c r="C22" s="7"/>
      <c r="D22" s="82" t="s">
        <v>685</v>
      </c>
      <c r="E22" s="148">
        <v>947</v>
      </c>
      <c r="F22" s="149">
        <v>375</v>
      </c>
      <c r="G22" s="148">
        <v>752</v>
      </c>
      <c r="H22" s="149">
        <v>688</v>
      </c>
      <c r="I22" s="148">
        <v>1325</v>
      </c>
      <c r="J22" s="149">
        <v>547</v>
      </c>
      <c r="K22" s="148">
        <v>1308</v>
      </c>
      <c r="L22" s="149">
        <v>581</v>
      </c>
      <c r="M22" s="148">
        <v>1476</v>
      </c>
      <c r="N22" s="149">
        <v>949</v>
      </c>
    </row>
    <row r="23" spans="1:14">
      <c r="A23" s="764"/>
      <c r="B23" s="7"/>
      <c r="C23" s="7"/>
      <c r="D23" s="82" t="s">
        <v>686</v>
      </c>
      <c r="E23" s="148">
        <v>797</v>
      </c>
      <c r="F23" s="149">
        <v>137</v>
      </c>
      <c r="G23" s="148">
        <v>843</v>
      </c>
      <c r="H23" s="149">
        <v>129</v>
      </c>
      <c r="I23" s="148">
        <v>937</v>
      </c>
      <c r="J23" s="149">
        <v>139</v>
      </c>
      <c r="K23" s="148">
        <v>948</v>
      </c>
      <c r="L23" s="149">
        <v>134</v>
      </c>
      <c r="M23" s="148">
        <v>962</v>
      </c>
      <c r="N23" s="149">
        <v>146</v>
      </c>
    </row>
    <row r="24" spans="1:14" ht="11.25" customHeight="1">
      <c r="A24" s="764"/>
      <c r="B24" s="7"/>
      <c r="C24" s="7"/>
      <c r="D24" s="82" t="s">
        <v>687</v>
      </c>
      <c r="E24" s="148">
        <v>296</v>
      </c>
      <c r="F24" s="149">
        <v>35</v>
      </c>
      <c r="G24" s="148">
        <v>278</v>
      </c>
      <c r="H24" s="149">
        <v>42</v>
      </c>
      <c r="I24" s="148">
        <v>214</v>
      </c>
      <c r="J24" s="149">
        <v>42</v>
      </c>
      <c r="K24" s="148">
        <v>311</v>
      </c>
      <c r="L24" s="149">
        <v>64</v>
      </c>
      <c r="M24" s="148">
        <v>305</v>
      </c>
      <c r="N24" s="149">
        <v>60</v>
      </c>
    </row>
    <row r="25" spans="1:14" ht="39" customHeight="1">
      <c r="A25" s="764"/>
      <c r="B25" s="7"/>
      <c r="C25" s="7"/>
      <c r="D25" s="116" t="s">
        <v>26</v>
      </c>
      <c r="E25" s="147" t="s">
        <v>570</v>
      </c>
      <c r="F25" s="149" t="s">
        <v>570</v>
      </c>
      <c r="G25" s="148" t="s">
        <v>570</v>
      </c>
      <c r="H25" s="149" t="s">
        <v>570</v>
      </c>
      <c r="I25" s="148" t="s">
        <v>570</v>
      </c>
      <c r="J25" s="149" t="s">
        <v>570</v>
      </c>
      <c r="K25" s="148" t="s">
        <v>570</v>
      </c>
      <c r="L25" s="149" t="s">
        <v>570</v>
      </c>
      <c r="M25" s="148" t="s">
        <v>570</v>
      </c>
      <c r="N25" s="149" t="s">
        <v>570</v>
      </c>
    </row>
    <row r="26" spans="1:14">
      <c r="A26" s="764"/>
      <c r="B26" s="7" t="s">
        <v>596</v>
      </c>
      <c r="C26" s="111" t="s">
        <v>688</v>
      </c>
      <c r="D26" s="141"/>
      <c r="E26" s="787">
        <f>IF(SUM(E27:E28)=0,"..",SUM(E27:E28))</f>
        <v>256</v>
      </c>
      <c r="F26" s="788">
        <f>IF(SUM(F27:F28)=0,"..",SUM(F27:F28))</f>
        <v>144</v>
      </c>
      <c r="G26" s="787">
        <f>IF(SUM(G27:G28)=0,"..",SUM(G27:G28))</f>
        <v>261</v>
      </c>
      <c r="H26" s="788">
        <f>IF(SUM(H27:H28)=0,"..",SUM(H27:H28))</f>
        <v>139</v>
      </c>
      <c r="I26" s="787">
        <f t="shared" ref="I26:N26" si="4">IF(SUM(I27:I28)=0,"..",SUM(I27:I28))</f>
        <v>256</v>
      </c>
      <c r="J26" s="788">
        <f t="shared" si="4"/>
        <v>165</v>
      </c>
      <c r="K26" s="787">
        <f t="shared" si="4"/>
        <v>106</v>
      </c>
      <c r="L26" s="788">
        <f t="shared" si="4"/>
        <v>74</v>
      </c>
      <c r="M26" s="787">
        <f t="shared" si="4"/>
        <v>155</v>
      </c>
      <c r="N26" s="788">
        <f t="shared" si="4"/>
        <v>123</v>
      </c>
    </row>
    <row r="27" spans="1:14">
      <c r="A27" s="764"/>
      <c r="B27" s="7"/>
      <c r="C27" s="7"/>
      <c r="D27" s="82" t="s">
        <v>689</v>
      </c>
      <c r="E27" s="215">
        <v>256</v>
      </c>
      <c r="F27" s="450">
        <v>144</v>
      </c>
      <c r="G27" s="215">
        <v>261</v>
      </c>
      <c r="H27" s="450">
        <v>139</v>
      </c>
      <c r="I27" s="215">
        <v>256</v>
      </c>
      <c r="J27" s="450">
        <v>165</v>
      </c>
      <c r="K27" s="215">
        <v>106</v>
      </c>
      <c r="L27" s="450">
        <v>74</v>
      </c>
      <c r="M27" s="215">
        <v>155</v>
      </c>
      <c r="N27" s="450">
        <v>123</v>
      </c>
    </row>
    <row r="28" spans="1:14">
      <c r="A28" s="764"/>
      <c r="B28" s="7"/>
      <c r="C28" s="7"/>
      <c r="D28" s="82" t="s">
        <v>690</v>
      </c>
      <c r="E28" s="147" t="s">
        <v>570</v>
      </c>
      <c r="F28" s="149" t="s">
        <v>570</v>
      </c>
      <c r="G28" s="148" t="s">
        <v>570</v>
      </c>
      <c r="H28" s="149" t="s">
        <v>570</v>
      </c>
      <c r="I28" s="148" t="s">
        <v>570</v>
      </c>
      <c r="J28" s="149" t="s">
        <v>570</v>
      </c>
      <c r="K28" s="148" t="s">
        <v>570</v>
      </c>
      <c r="L28" s="149" t="s">
        <v>570</v>
      </c>
      <c r="M28" s="148" t="s">
        <v>570</v>
      </c>
      <c r="N28" s="149" t="s">
        <v>570</v>
      </c>
    </row>
    <row r="29" spans="1:14">
      <c r="A29" s="764"/>
      <c r="B29" s="7" t="s">
        <v>597</v>
      </c>
      <c r="C29" s="111" t="s">
        <v>1034</v>
      </c>
      <c r="D29" s="141"/>
      <c r="E29" s="795">
        <f t="shared" ref="E29:J29" si="5">SUM(E30:E34)</f>
        <v>248</v>
      </c>
      <c r="F29" s="788">
        <f t="shared" si="5"/>
        <v>121</v>
      </c>
      <c r="G29" s="787">
        <f t="shared" si="5"/>
        <v>258</v>
      </c>
      <c r="H29" s="788">
        <f t="shared" si="5"/>
        <v>135</v>
      </c>
      <c r="I29" s="787">
        <f t="shared" si="5"/>
        <v>250</v>
      </c>
      <c r="J29" s="788">
        <f t="shared" si="5"/>
        <v>130</v>
      </c>
      <c r="K29" s="787">
        <f>SUM(K30:K34)</f>
        <v>185</v>
      </c>
      <c r="L29" s="1099">
        <f>SUM(L30:L34)</f>
        <v>117</v>
      </c>
      <c r="M29" s="787">
        <f>SUM(M30:M34)</f>
        <v>188</v>
      </c>
      <c r="N29" s="1099">
        <f>SUM(N30:N34)</f>
        <v>106</v>
      </c>
    </row>
    <row r="30" spans="1:14">
      <c r="A30" s="764"/>
      <c r="B30" s="7"/>
      <c r="C30" s="7"/>
      <c r="D30" s="82" t="s">
        <v>692</v>
      </c>
      <c r="E30" s="148">
        <v>248</v>
      </c>
      <c r="F30" s="149">
        <v>121</v>
      </c>
      <c r="G30" s="148">
        <v>258</v>
      </c>
      <c r="H30" s="149">
        <v>135</v>
      </c>
      <c r="I30" s="148">
        <v>250</v>
      </c>
      <c r="J30" s="149">
        <v>130</v>
      </c>
      <c r="K30" s="148">
        <v>185</v>
      </c>
      <c r="L30" s="149">
        <v>117</v>
      </c>
      <c r="M30" s="148">
        <v>188</v>
      </c>
      <c r="N30" s="149">
        <v>106</v>
      </c>
    </row>
    <row r="31" spans="1:14">
      <c r="A31" s="764"/>
      <c r="B31" s="7"/>
      <c r="C31" s="7"/>
      <c r="D31" s="82" t="s">
        <v>693</v>
      </c>
      <c r="E31" s="147" t="s">
        <v>570</v>
      </c>
      <c r="F31" s="149" t="s">
        <v>570</v>
      </c>
      <c r="G31" s="148" t="s">
        <v>570</v>
      </c>
      <c r="H31" s="149" t="s">
        <v>570</v>
      </c>
      <c r="I31" s="148" t="s">
        <v>570</v>
      </c>
      <c r="J31" s="149" t="s">
        <v>570</v>
      </c>
      <c r="K31" s="148" t="s">
        <v>570</v>
      </c>
      <c r="L31" s="149" t="s">
        <v>570</v>
      </c>
      <c r="M31" s="148" t="s">
        <v>570</v>
      </c>
      <c r="N31" s="149" t="s">
        <v>570</v>
      </c>
    </row>
    <row r="32" spans="1:14">
      <c r="A32" s="764"/>
      <c r="B32" s="7"/>
      <c r="C32" s="7"/>
      <c r="D32" s="82" t="s">
        <v>696</v>
      </c>
      <c r="E32" s="147" t="s">
        <v>570</v>
      </c>
      <c r="F32" s="149" t="s">
        <v>570</v>
      </c>
      <c r="G32" s="148" t="s">
        <v>570</v>
      </c>
      <c r="H32" s="149" t="s">
        <v>570</v>
      </c>
      <c r="I32" s="148" t="s">
        <v>570</v>
      </c>
      <c r="J32" s="149" t="s">
        <v>570</v>
      </c>
      <c r="K32" s="148" t="s">
        <v>570</v>
      </c>
      <c r="L32" s="149" t="s">
        <v>570</v>
      </c>
      <c r="M32" s="148" t="s">
        <v>570</v>
      </c>
      <c r="N32" s="149" t="s">
        <v>570</v>
      </c>
    </row>
    <row r="33" spans="1:14">
      <c r="A33" s="764"/>
      <c r="B33" s="7"/>
      <c r="C33" s="7"/>
      <c r="D33" s="82" t="s">
        <v>694</v>
      </c>
      <c r="E33" s="147" t="s">
        <v>570</v>
      </c>
      <c r="F33" s="149" t="s">
        <v>570</v>
      </c>
      <c r="G33" s="148" t="s">
        <v>570</v>
      </c>
      <c r="H33" s="149" t="s">
        <v>570</v>
      </c>
      <c r="I33" s="148" t="s">
        <v>570</v>
      </c>
      <c r="J33" s="149" t="s">
        <v>570</v>
      </c>
      <c r="K33" s="148" t="s">
        <v>570</v>
      </c>
      <c r="L33" s="149" t="s">
        <v>570</v>
      </c>
      <c r="M33" s="148" t="s">
        <v>570</v>
      </c>
      <c r="N33" s="149" t="s">
        <v>570</v>
      </c>
    </row>
    <row r="34" spans="1:14" ht="26.25" customHeight="1">
      <c r="A34" s="764"/>
      <c r="B34" s="7"/>
      <c r="C34" s="7"/>
      <c r="D34" s="115" t="s">
        <v>695</v>
      </c>
      <c r="E34" s="147" t="s">
        <v>570</v>
      </c>
      <c r="F34" s="149" t="s">
        <v>570</v>
      </c>
      <c r="G34" s="148" t="s">
        <v>570</v>
      </c>
      <c r="H34" s="149" t="s">
        <v>570</v>
      </c>
      <c r="I34" s="148" t="s">
        <v>570</v>
      </c>
      <c r="J34" s="149" t="s">
        <v>570</v>
      </c>
      <c r="K34" s="148" t="s">
        <v>570</v>
      </c>
      <c r="L34" s="149" t="s">
        <v>570</v>
      </c>
      <c r="M34" s="148" t="s">
        <v>570</v>
      </c>
      <c r="N34" s="149" t="s">
        <v>570</v>
      </c>
    </row>
    <row r="35" spans="1:14">
      <c r="A35" s="769">
        <v>3</v>
      </c>
      <c r="B35" s="1497" t="s">
        <v>1467</v>
      </c>
      <c r="C35" s="1497"/>
      <c r="D35" s="1498"/>
      <c r="E35" s="742" t="s">
        <v>570</v>
      </c>
      <c r="F35" s="446" t="s">
        <v>570</v>
      </c>
      <c r="G35" s="445" t="s">
        <v>570</v>
      </c>
      <c r="H35" s="446" t="s">
        <v>570</v>
      </c>
      <c r="I35" s="445" t="s">
        <v>570</v>
      </c>
      <c r="J35" s="446" t="s">
        <v>570</v>
      </c>
      <c r="K35" s="445" t="s">
        <v>570</v>
      </c>
      <c r="L35" s="446" t="s">
        <v>570</v>
      </c>
      <c r="M35" s="445" t="s">
        <v>570</v>
      </c>
      <c r="N35" s="446" t="s">
        <v>570</v>
      </c>
    </row>
    <row r="36" spans="1:14">
      <c r="A36" s="45"/>
      <c r="B36" s="1547" t="s">
        <v>300</v>
      </c>
      <c r="C36" s="1547"/>
      <c r="D36" s="1548"/>
      <c r="E36" s="342">
        <f t="shared" ref="E36:N36" si="6">SUM(E8,E18,E35)</f>
        <v>10206</v>
      </c>
      <c r="F36" s="251">
        <f t="shared" si="6"/>
        <v>4171</v>
      </c>
      <c r="G36" s="342">
        <f t="shared" si="6"/>
        <v>10142</v>
      </c>
      <c r="H36" s="251">
        <f t="shared" si="6"/>
        <v>4702</v>
      </c>
      <c r="I36" s="342">
        <f t="shared" si="6"/>
        <v>10960</v>
      </c>
      <c r="J36" s="251">
        <f t="shared" si="6"/>
        <v>5026</v>
      </c>
      <c r="K36" s="342">
        <f t="shared" si="6"/>
        <v>11006</v>
      </c>
      <c r="L36" s="251">
        <f t="shared" si="6"/>
        <v>5275</v>
      </c>
      <c r="M36" s="342">
        <f t="shared" si="6"/>
        <v>11580</v>
      </c>
      <c r="N36" s="251">
        <f t="shared" si="6"/>
        <v>5684</v>
      </c>
    </row>
    <row r="37" spans="1:14">
      <c r="A37" s="36"/>
      <c r="B37" s="36"/>
      <c r="C37" s="36"/>
      <c r="D37" s="36"/>
      <c r="E37" s="36"/>
      <c r="F37" s="36"/>
      <c r="G37" s="36"/>
      <c r="H37" s="36"/>
      <c r="I37" s="36"/>
      <c r="J37" s="913" t="s">
        <v>1036</v>
      </c>
      <c r="K37" s="1545" t="str">
        <f>CONCATENATE("Heads of all Technical and Professional Institutions, ",District!A1)</f>
        <v>Heads of all Technical and Professional Institutions, Jalpaiguri</v>
      </c>
      <c r="L37" s="1545"/>
      <c r="M37" s="1545"/>
      <c r="N37" s="1545"/>
    </row>
    <row r="38" spans="1:14">
      <c r="A38" s="36"/>
      <c r="B38" s="36"/>
      <c r="C38" s="36"/>
      <c r="D38" s="36"/>
      <c r="E38" s="36"/>
      <c r="F38" s="36"/>
      <c r="G38" s="36"/>
      <c r="H38" s="36"/>
      <c r="I38" s="36"/>
      <c r="J38" s="908"/>
      <c r="K38" s="1546"/>
      <c r="L38" s="1546"/>
      <c r="M38" s="1546"/>
      <c r="N38" s="1546"/>
    </row>
    <row r="39" spans="1:14">
      <c r="A39" s="36"/>
      <c r="B39" s="36"/>
      <c r="C39" s="36"/>
      <c r="D39" s="36"/>
      <c r="E39" s="36"/>
      <c r="F39" s="36"/>
      <c r="G39" s="36"/>
      <c r="H39" s="36"/>
      <c r="I39" s="36"/>
      <c r="J39" s="36"/>
      <c r="K39" s="36"/>
      <c r="L39" s="36"/>
      <c r="M39" s="36"/>
      <c r="N39" s="36"/>
    </row>
    <row r="40" spans="1:14">
      <c r="A40" s="36"/>
      <c r="B40" s="36"/>
      <c r="C40" s="36"/>
      <c r="D40" s="36"/>
      <c r="E40" s="36"/>
      <c r="F40" s="36"/>
      <c r="G40" s="36"/>
      <c r="H40" s="36"/>
      <c r="I40" s="36"/>
      <c r="J40" s="36"/>
      <c r="K40" s="36"/>
      <c r="L40" s="36"/>
      <c r="M40" s="36"/>
      <c r="N40" s="36"/>
    </row>
    <row r="41" spans="1:14">
      <c r="A41" s="36"/>
      <c r="B41" s="36"/>
      <c r="C41" s="36"/>
      <c r="D41" s="36"/>
      <c r="E41" s="36"/>
      <c r="F41" s="36"/>
      <c r="G41" s="36"/>
      <c r="H41" s="36"/>
      <c r="I41" s="36"/>
      <c r="J41" s="36"/>
      <c r="K41" s="36"/>
      <c r="L41" s="36"/>
      <c r="M41" s="36"/>
      <c r="N41" s="36"/>
    </row>
    <row r="42" spans="1:14">
      <c r="A42" s="36"/>
      <c r="B42" s="36"/>
      <c r="C42" s="36"/>
      <c r="D42" s="36"/>
      <c r="E42" s="36"/>
      <c r="F42" s="36"/>
      <c r="G42" s="36"/>
      <c r="H42" s="36"/>
      <c r="I42" s="36"/>
      <c r="J42" s="36"/>
      <c r="K42" s="36"/>
      <c r="L42" s="36"/>
      <c r="M42" s="36"/>
      <c r="N42" s="36"/>
    </row>
  </sheetData>
  <mergeCells count="16">
    <mergeCell ref="A1:N1"/>
    <mergeCell ref="A2:N2"/>
    <mergeCell ref="A7:D7"/>
    <mergeCell ref="A4:D6"/>
    <mergeCell ref="E4:N4"/>
    <mergeCell ref="M5:N5"/>
    <mergeCell ref="E5:F5"/>
    <mergeCell ref="G5:H5"/>
    <mergeCell ref="I5:J5"/>
    <mergeCell ref="K5:L5"/>
    <mergeCell ref="B8:D8"/>
    <mergeCell ref="C17:D17"/>
    <mergeCell ref="K37:N38"/>
    <mergeCell ref="B18:D18"/>
    <mergeCell ref="B35:D35"/>
    <mergeCell ref="B36:D36"/>
  </mergeCells>
  <phoneticPr fontId="0" type="noConversion"/>
  <conditionalFormatting sqref="Y1:IV1048576 Q1:X6 Q8:X65536 A1:P1048576">
    <cfRule type="cellIs" dxfId="12" priority="1" stopIfTrue="1" operator="equal">
      <formula>".."</formula>
    </cfRule>
  </conditionalFormatting>
  <printOptions horizontalCentered="1"/>
  <pageMargins left="0.1" right="0.1" top="0.43" bottom="0.1" header="0.43" footer="0.1"/>
  <pageSetup paperSize="9" orientation="landscape" blackAndWhite="1" r:id="rId1"/>
  <headerFooter alignWithMargins="0"/>
</worksheet>
</file>

<file path=xl/worksheets/sheet31.xml><?xml version="1.0" encoding="utf-8"?>
<worksheet xmlns="http://schemas.openxmlformats.org/spreadsheetml/2006/main" xmlns:r="http://schemas.openxmlformats.org/officeDocument/2006/relationships">
  <sheetPr codeName="Sheet31"/>
  <dimension ref="A1:P33"/>
  <sheetViews>
    <sheetView topLeftCell="A11" workbookViewId="0">
      <selection activeCell="G16" sqref="G16"/>
    </sheetView>
  </sheetViews>
  <sheetFormatPr defaultRowHeight="12.75"/>
  <cols>
    <col min="1" max="1" width="3.140625" customWidth="1"/>
    <col min="4" max="4" width="23.140625" customWidth="1"/>
    <col min="5" max="14" width="8.7109375" customWidth="1"/>
  </cols>
  <sheetData>
    <row r="1" spans="1:16" ht="12.75" customHeight="1">
      <c r="A1" s="1524" t="s">
        <v>417</v>
      </c>
      <c r="B1" s="1524"/>
      <c r="C1" s="1524"/>
      <c r="D1" s="1524"/>
      <c r="E1" s="1524"/>
      <c r="F1" s="1524"/>
      <c r="G1" s="1524"/>
      <c r="H1" s="1524"/>
      <c r="I1" s="1524"/>
      <c r="J1" s="1524"/>
      <c r="K1" s="1524"/>
      <c r="L1" s="1524"/>
      <c r="M1" s="1524"/>
      <c r="N1" s="1524"/>
    </row>
    <row r="2" spans="1:16" ht="18" customHeight="1">
      <c r="A2" s="1494" t="str">
        <f>CONCATENATE("Students by sex in different type of Special and Non-formal Educational Institutions in the district of ",District!A1)</f>
        <v>Students by sex in different type of Special and Non-formal Educational Institutions in the district of Jalpaiguri</v>
      </c>
      <c r="B2" s="1494"/>
      <c r="C2" s="1494"/>
      <c r="D2" s="1494"/>
      <c r="E2" s="1494"/>
      <c r="F2" s="1494"/>
      <c r="G2" s="1494"/>
      <c r="H2" s="1494"/>
      <c r="I2" s="1494"/>
      <c r="J2" s="1494"/>
      <c r="K2" s="1494"/>
      <c r="L2" s="1494"/>
      <c r="M2" s="1494"/>
      <c r="N2" s="1494"/>
    </row>
    <row r="3" spans="1:16" ht="12" customHeight="1">
      <c r="B3" s="101"/>
      <c r="C3" s="101"/>
      <c r="D3" s="101"/>
      <c r="E3" s="101"/>
      <c r="F3" s="101"/>
      <c r="G3" s="101"/>
      <c r="H3" s="101"/>
      <c r="I3" s="101"/>
      <c r="J3" s="101"/>
      <c r="K3" s="101"/>
      <c r="L3" s="101"/>
      <c r="N3" s="1057" t="s">
        <v>312</v>
      </c>
    </row>
    <row r="4" spans="1:16" ht="14.25" customHeight="1">
      <c r="A4" s="1293" t="s">
        <v>882</v>
      </c>
      <c r="B4" s="1502"/>
      <c r="C4" s="1502"/>
      <c r="D4" s="1294"/>
      <c r="E4" s="1445" t="s">
        <v>98</v>
      </c>
      <c r="F4" s="1444"/>
      <c r="G4" s="1444"/>
      <c r="H4" s="1444"/>
      <c r="I4" s="1444"/>
      <c r="J4" s="1444"/>
      <c r="K4" s="1444"/>
      <c r="L4" s="1444"/>
      <c r="M4" s="1444"/>
      <c r="N4" s="1446"/>
    </row>
    <row r="5" spans="1:16" ht="14.25" customHeight="1">
      <c r="A5" s="1295"/>
      <c r="B5" s="1552"/>
      <c r="C5" s="1552"/>
      <c r="D5" s="1296"/>
      <c r="E5" s="1290" t="s">
        <v>1110</v>
      </c>
      <c r="F5" s="1292"/>
      <c r="G5" s="1290" t="s">
        <v>1111</v>
      </c>
      <c r="H5" s="1292"/>
      <c r="I5" s="1290" t="s">
        <v>641</v>
      </c>
      <c r="J5" s="1292"/>
      <c r="K5" s="1291" t="s">
        <v>909</v>
      </c>
      <c r="L5" s="1292"/>
      <c r="M5" s="1291" t="s">
        <v>895</v>
      </c>
      <c r="N5" s="1292"/>
    </row>
    <row r="6" spans="1:16" ht="13.5" customHeight="1">
      <c r="A6" s="1503"/>
      <c r="B6" s="1504"/>
      <c r="C6" s="1504"/>
      <c r="D6" s="1504"/>
      <c r="E6" s="362" t="s">
        <v>332</v>
      </c>
      <c r="F6" s="637" t="s">
        <v>333</v>
      </c>
      <c r="G6" s="362" t="s">
        <v>332</v>
      </c>
      <c r="H6" s="637" t="s">
        <v>333</v>
      </c>
      <c r="I6" s="362" t="s">
        <v>332</v>
      </c>
      <c r="J6" s="637" t="s">
        <v>333</v>
      </c>
      <c r="K6" s="362" t="s">
        <v>332</v>
      </c>
      <c r="L6" s="637" t="s">
        <v>333</v>
      </c>
      <c r="M6" s="362" t="s">
        <v>332</v>
      </c>
      <c r="N6" s="637" t="s">
        <v>333</v>
      </c>
    </row>
    <row r="7" spans="1:16" ht="14.25" customHeight="1">
      <c r="A7" s="1385" t="s">
        <v>278</v>
      </c>
      <c r="B7" s="1424"/>
      <c r="C7" s="1424"/>
      <c r="D7" s="1386"/>
      <c r="E7" s="160" t="s">
        <v>279</v>
      </c>
      <c r="F7" s="161" t="s">
        <v>280</v>
      </c>
      <c r="G7" s="92" t="s">
        <v>281</v>
      </c>
      <c r="H7" s="58" t="s">
        <v>282</v>
      </c>
      <c r="I7" s="160" t="s">
        <v>283</v>
      </c>
      <c r="J7" s="159" t="s">
        <v>284</v>
      </c>
      <c r="K7" s="160" t="s">
        <v>301</v>
      </c>
      <c r="L7" s="161" t="s">
        <v>302</v>
      </c>
      <c r="M7" s="160" t="s">
        <v>303</v>
      </c>
      <c r="N7" s="161" t="s">
        <v>304</v>
      </c>
      <c r="O7" s="348"/>
      <c r="P7" s="348"/>
    </row>
    <row r="8" spans="1:16" ht="21" customHeight="1">
      <c r="A8" s="49">
        <v>1</v>
      </c>
      <c r="B8" s="1555" t="s">
        <v>697</v>
      </c>
      <c r="C8" s="1555"/>
      <c r="D8" s="1556"/>
      <c r="E8" s="147">
        <v>52682</v>
      </c>
      <c r="F8" s="293">
        <v>53730</v>
      </c>
      <c r="G8" s="147">
        <v>50166</v>
      </c>
      <c r="H8" s="293">
        <v>51513</v>
      </c>
      <c r="I8" s="147">
        <v>47781</v>
      </c>
      <c r="J8" s="293">
        <v>48925</v>
      </c>
      <c r="K8" s="147">
        <v>41470</v>
      </c>
      <c r="L8" s="293">
        <v>49999</v>
      </c>
      <c r="M8" s="147">
        <v>41571</v>
      </c>
      <c r="N8" s="293">
        <v>49472</v>
      </c>
    </row>
    <row r="9" spans="1:16" s="36" customFormat="1" ht="21" customHeight="1">
      <c r="A9" s="52">
        <v>2</v>
      </c>
      <c r="B9" s="1561" t="s">
        <v>258</v>
      </c>
      <c r="C9" s="1561"/>
      <c r="D9" s="1562"/>
      <c r="E9" s="147">
        <v>13630</v>
      </c>
      <c r="F9" s="149">
        <v>15115</v>
      </c>
      <c r="G9" s="147">
        <v>13244</v>
      </c>
      <c r="H9" s="149">
        <v>14795</v>
      </c>
      <c r="I9" s="147">
        <v>12250</v>
      </c>
      <c r="J9" s="149">
        <v>13916</v>
      </c>
      <c r="K9" s="147">
        <v>12783</v>
      </c>
      <c r="L9" s="149">
        <v>13319</v>
      </c>
      <c r="M9" s="147">
        <v>12870</v>
      </c>
      <c r="N9" s="149">
        <v>13318</v>
      </c>
    </row>
    <row r="10" spans="1:16" ht="21" customHeight="1">
      <c r="A10" s="52">
        <v>3</v>
      </c>
      <c r="B10" s="1555" t="s">
        <v>698</v>
      </c>
      <c r="C10" s="1555"/>
      <c r="D10" s="1556"/>
      <c r="E10" s="148" t="s">
        <v>570</v>
      </c>
      <c r="F10" s="149" t="s">
        <v>570</v>
      </c>
      <c r="G10" s="148" t="s">
        <v>570</v>
      </c>
      <c r="H10" s="149" t="s">
        <v>570</v>
      </c>
      <c r="I10" s="148" t="s">
        <v>570</v>
      </c>
      <c r="J10" s="149" t="s">
        <v>570</v>
      </c>
      <c r="K10" s="148" t="s">
        <v>570</v>
      </c>
      <c r="L10" s="149" t="s">
        <v>570</v>
      </c>
      <c r="M10" s="148" t="s">
        <v>570</v>
      </c>
      <c r="N10" s="149" t="s">
        <v>570</v>
      </c>
      <c r="O10" s="348"/>
    </row>
    <row r="11" spans="1:16" ht="21" customHeight="1">
      <c r="A11" s="52">
        <v>4</v>
      </c>
      <c r="B11" s="1555" t="s">
        <v>797</v>
      </c>
      <c r="C11" s="1555"/>
      <c r="D11" s="1556"/>
      <c r="E11" s="147">
        <v>1263</v>
      </c>
      <c r="F11" s="149">
        <v>1540</v>
      </c>
      <c r="G11" s="147">
        <v>1284</v>
      </c>
      <c r="H11" s="149">
        <v>1703</v>
      </c>
      <c r="I11" s="147">
        <v>1011</v>
      </c>
      <c r="J11" s="149">
        <v>1414</v>
      </c>
      <c r="K11" s="147">
        <v>1019</v>
      </c>
      <c r="L11" s="149">
        <v>1397</v>
      </c>
      <c r="M11" s="147">
        <v>1045</v>
      </c>
      <c r="N11" s="149">
        <v>1482</v>
      </c>
    </row>
    <row r="12" spans="1:16" ht="21" customHeight="1">
      <c r="A12" s="52">
        <v>5</v>
      </c>
      <c r="B12" s="1555" t="s">
        <v>699</v>
      </c>
      <c r="C12" s="1555"/>
      <c r="D12" s="1556"/>
      <c r="E12" s="147">
        <v>38</v>
      </c>
      <c r="F12" s="149">
        <v>32</v>
      </c>
      <c r="G12" s="147">
        <v>35</v>
      </c>
      <c r="H12" s="149">
        <v>28</v>
      </c>
      <c r="I12" s="147">
        <v>18</v>
      </c>
      <c r="J12" s="149">
        <v>23</v>
      </c>
      <c r="K12" s="147">
        <v>17</v>
      </c>
      <c r="L12" s="149">
        <v>32</v>
      </c>
      <c r="M12" s="147">
        <v>18</v>
      </c>
      <c r="N12" s="149">
        <v>25</v>
      </c>
    </row>
    <row r="13" spans="1:16" ht="21" customHeight="1">
      <c r="A13" s="52">
        <v>6</v>
      </c>
      <c r="B13" s="1555" t="s">
        <v>700</v>
      </c>
      <c r="C13" s="1555"/>
      <c r="D13" s="1556"/>
      <c r="E13" s="147">
        <v>185</v>
      </c>
      <c r="F13" s="149">
        <v>150</v>
      </c>
      <c r="G13" s="147">
        <v>203</v>
      </c>
      <c r="H13" s="149">
        <v>160</v>
      </c>
      <c r="I13" s="147">
        <v>195</v>
      </c>
      <c r="J13" s="149">
        <v>165</v>
      </c>
      <c r="K13" s="147">
        <v>198</v>
      </c>
      <c r="L13" s="149">
        <v>168</v>
      </c>
      <c r="M13" s="147">
        <v>201</v>
      </c>
      <c r="N13" s="149">
        <v>167</v>
      </c>
    </row>
    <row r="14" spans="1:16" ht="23.25" customHeight="1">
      <c r="A14" s="608">
        <v>7</v>
      </c>
      <c r="B14" s="1559" t="s">
        <v>798</v>
      </c>
      <c r="C14" s="1559"/>
      <c r="D14" s="1560"/>
      <c r="E14" s="147">
        <v>752</v>
      </c>
      <c r="F14" s="149">
        <v>589</v>
      </c>
      <c r="G14" s="147">
        <v>764</v>
      </c>
      <c r="H14" s="149">
        <v>556</v>
      </c>
      <c r="I14" s="147">
        <v>677</v>
      </c>
      <c r="J14" s="149">
        <v>653</v>
      </c>
      <c r="K14" s="147">
        <v>680</v>
      </c>
      <c r="L14" s="149">
        <v>656</v>
      </c>
      <c r="M14" s="147">
        <v>707</v>
      </c>
      <c r="N14" s="149">
        <v>645</v>
      </c>
    </row>
    <row r="15" spans="1:16" ht="21" customHeight="1">
      <c r="A15" s="52">
        <v>8</v>
      </c>
      <c r="B15" s="1555" t="s">
        <v>709</v>
      </c>
      <c r="C15" s="1555"/>
      <c r="D15" s="1556"/>
      <c r="E15" s="148" t="s">
        <v>570</v>
      </c>
      <c r="F15" s="149" t="s">
        <v>570</v>
      </c>
      <c r="G15" s="148" t="s">
        <v>570</v>
      </c>
      <c r="H15" s="149" t="s">
        <v>570</v>
      </c>
      <c r="I15" s="148" t="s">
        <v>570</v>
      </c>
      <c r="J15" s="149" t="s">
        <v>570</v>
      </c>
      <c r="K15" s="148" t="s">
        <v>570</v>
      </c>
      <c r="L15" s="149" t="s">
        <v>570</v>
      </c>
      <c r="M15" s="148" t="s">
        <v>570</v>
      </c>
      <c r="N15" s="149" t="s">
        <v>570</v>
      </c>
    </row>
    <row r="16" spans="1:16" ht="21" customHeight="1">
      <c r="A16" s="52">
        <v>9</v>
      </c>
      <c r="B16" s="1555" t="s">
        <v>710</v>
      </c>
      <c r="C16" s="1555"/>
      <c r="D16" s="1556"/>
      <c r="E16" s="147">
        <v>168439</v>
      </c>
      <c r="F16" s="149">
        <v>164592</v>
      </c>
      <c r="G16" s="147">
        <v>168495</v>
      </c>
      <c r="H16" s="149">
        <v>165647</v>
      </c>
      <c r="I16" s="147">
        <v>161193</v>
      </c>
      <c r="J16" s="149">
        <v>156873</v>
      </c>
      <c r="K16" s="147">
        <v>163180</v>
      </c>
      <c r="L16" s="149">
        <v>159817</v>
      </c>
      <c r="M16" s="147">
        <v>164212</v>
      </c>
      <c r="N16" s="149">
        <v>159257</v>
      </c>
    </row>
    <row r="17" spans="1:14" ht="21" customHeight="1">
      <c r="A17" s="52">
        <v>10</v>
      </c>
      <c r="B17" s="1555" t="s">
        <v>1511</v>
      </c>
      <c r="C17" s="1555"/>
      <c r="D17" s="1556"/>
      <c r="E17" s="147">
        <v>59</v>
      </c>
      <c r="F17" s="149">
        <v>65</v>
      </c>
      <c r="G17" s="147">
        <v>62</v>
      </c>
      <c r="H17" s="149">
        <v>64</v>
      </c>
      <c r="I17" s="147">
        <v>62</v>
      </c>
      <c r="J17" s="149">
        <v>64</v>
      </c>
      <c r="K17" s="147">
        <v>62</v>
      </c>
      <c r="L17" s="149">
        <v>64</v>
      </c>
      <c r="M17" s="147">
        <v>62</v>
      </c>
      <c r="N17" s="149">
        <v>64</v>
      </c>
    </row>
    <row r="18" spans="1:14" ht="53.25" customHeight="1">
      <c r="A18" s="608">
        <v>11</v>
      </c>
      <c r="B18" s="1563" t="s">
        <v>799</v>
      </c>
      <c r="C18" s="1564"/>
      <c r="D18" s="1565"/>
      <c r="E18" s="147">
        <v>46</v>
      </c>
      <c r="F18" s="149" t="s">
        <v>570</v>
      </c>
      <c r="G18" s="147">
        <v>24</v>
      </c>
      <c r="H18" s="149" t="s">
        <v>570</v>
      </c>
      <c r="I18" s="147">
        <v>65</v>
      </c>
      <c r="J18" s="149" t="s">
        <v>570</v>
      </c>
      <c r="K18" s="147">
        <v>42</v>
      </c>
      <c r="L18" s="149" t="s">
        <v>570</v>
      </c>
      <c r="M18" s="147">
        <v>57</v>
      </c>
      <c r="N18" s="149" t="s">
        <v>570</v>
      </c>
    </row>
    <row r="19" spans="1:14" ht="21" customHeight="1">
      <c r="A19" s="155">
        <v>12</v>
      </c>
      <c r="B19" s="1557" t="s">
        <v>248</v>
      </c>
      <c r="C19" s="1557"/>
      <c r="D19" s="1558"/>
      <c r="E19" s="147">
        <v>570</v>
      </c>
      <c r="F19" s="149">
        <v>2415</v>
      </c>
      <c r="G19" s="147">
        <v>819</v>
      </c>
      <c r="H19" s="149">
        <v>2246</v>
      </c>
      <c r="I19" s="147">
        <v>395</v>
      </c>
      <c r="J19" s="149">
        <v>1857</v>
      </c>
      <c r="K19" s="147">
        <v>262</v>
      </c>
      <c r="L19" s="149">
        <v>2006</v>
      </c>
      <c r="M19" s="147">
        <v>294</v>
      </c>
      <c r="N19" s="149">
        <v>1834</v>
      </c>
    </row>
    <row r="20" spans="1:14" ht="19.5" customHeight="1">
      <c r="A20" s="1305" t="s">
        <v>300</v>
      </c>
      <c r="B20" s="1515"/>
      <c r="C20" s="1515"/>
      <c r="D20" s="1306"/>
      <c r="E20" s="165">
        <f t="shared" ref="E20:N20" si="0">SUM(E8:E19)</f>
        <v>237664</v>
      </c>
      <c r="F20" s="165">
        <f t="shared" si="0"/>
        <v>238228</v>
      </c>
      <c r="G20" s="164">
        <f t="shared" si="0"/>
        <v>235096</v>
      </c>
      <c r="H20" s="166">
        <f t="shared" si="0"/>
        <v>236712</v>
      </c>
      <c r="I20" s="164">
        <f t="shared" si="0"/>
        <v>223647</v>
      </c>
      <c r="J20" s="166">
        <f t="shared" si="0"/>
        <v>223890</v>
      </c>
      <c r="K20" s="164">
        <f t="shared" si="0"/>
        <v>219713</v>
      </c>
      <c r="L20" s="166">
        <f t="shared" si="0"/>
        <v>227458</v>
      </c>
      <c r="M20" s="164">
        <f t="shared" si="0"/>
        <v>221037</v>
      </c>
      <c r="N20" s="166">
        <f t="shared" si="0"/>
        <v>226264</v>
      </c>
    </row>
    <row r="21" spans="1:14" ht="12" customHeight="1">
      <c r="A21" s="908"/>
      <c r="B21" s="66"/>
      <c r="C21" s="66"/>
      <c r="D21" s="36"/>
      <c r="E21" s="36"/>
      <c r="F21" s="36"/>
      <c r="I21" s="903" t="s">
        <v>80</v>
      </c>
      <c r="J21" s="499" t="s">
        <v>1226</v>
      </c>
      <c r="K21" s="894"/>
      <c r="L21" s="894"/>
      <c r="M21" s="894"/>
      <c r="N21" s="36"/>
    </row>
    <row r="22" spans="1:14" ht="12" customHeight="1">
      <c r="A22" s="36"/>
      <c r="B22" s="36"/>
      <c r="C22" s="36"/>
      <c r="D22" s="36"/>
      <c r="E22" s="36"/>
      <c r="F22" s="36"/>
      <c r="I22" s="903" t="s">
        <v>81</v>
      </c>
      <c r="J22" s="499" t="s">
        <v>1227</v>
      </c>
      <c r="K22" s="894"/>
      <c r="L22" s="894"/>
      <c r="M22" s="894"/>
      <c r="N22" s="36"/>
    </row>
    <row r="23" spans="1:14" ht="12" customHeight="1">
      <c r="A23" s="36"/>
      <c r="B23" s="36"/>
      <c r="C23" s="36"/>
      <c r="D23" s="36"/>
      <c r="E23" s="36"/>
      <c r="F23" s="36"/>
      <c r="I23" s="903" t="s">
        <v>82</v>
      </c>
      <c r="J23" s="499" t="s">
        <v>1228</v>
      </c>
      <c r="K23" s="894"/>
      <c r="L23" s="894"/>
      <c r="M23" s="894"/>
      <c r="N23" s="36"/>
    </row>
    <row r="24" spans="1:14" ht="12" customHeight="1">
      <c r="A24" s="36"/>
      <c r="B24" s="36"/>
      <c r="C24" s="36"/>
      <c r="D24" s="36"/>
      <c r="E24" s="36"/>
      <c r="F24" s="36"/>
      <c r="I24" s="903" t="s">
        <v>83</v>
      </c>
      <c r="J24" s="499" t="s">
        <v>1229</v>
      </c>
      <c r="K24" s="894"/>
      <c r="L24" s="894"/>
      <c r="M24" s="894"/>
      <c r="N24" s="36"/>
    </row>
    <row r="25" spans="1:14" ht="12" customHeight="1">
      <c r="A25" s="36"/>
      <c r="B25" s="36"/>
      <c r="C25" s="36"/>
      <c r="D25" s="36"/>
      <c r="E25" s="36"/>
      <c r="F25" s="36"/>
      <c r="I25" s="903" t="s">
        <v>1114</v>
      </c>
      <c r="J25" s="499" t="s">
        <v>1016</v>
      </c>
      <c r="K25" s="894"/>
      <c r="L25" s="894"/>
      <c r="M25" s="894"/>
      <c r="N25" s="36"/>
    </row>
    <row r="26" spans="1:14" ht="12" customHeight="1">
      <c r="A26" s="36"/>
      <c r="B26" s="36"/>
      <c r="C26" s="36"/>
      <c r="D26" s="36"/>
      <c r="E26" s="36"/>
      <c r="F26" s="36"/>
      <c r="I26" s="903" t="s">
        <v>1017</v>
      </c>
      <c r="J26" s="499" t="s">
        <v>1018</v>
      </c>
      <c r="K26" s="894"/>
      <c r="L26" s="894"/>
      <c r="M26" s="894"/>
      <c r="N26" s="36"/>
    </row>
    <row r="27" spans="1:14" ht="12" customHeight="1">
      <c r="A27" s="36"/>
      <c r="B27" s="36"/>
      <c r="C27" s="36"/>
      <c r="D27" s="36"/>
      <c r="E27" s="36"/>
      <c r="F27" s="36"/>
      <c r="I27" s="903" t="s">
        <v>1019</v>
      </c>
      <c r="J27" s="499" t="s">
        <v>1020</v>
      </c>
      <c r="K27" s="894"/>
      <c r="L27" s="894"/>
      <c r="M27" s="894"/>
      <c r="N27" s="36"/>
    </row>
    <row r="28" spans="1:14" ht="12" customHeight="1">
      <c r="A28" s="36"/>
      <c r="B28" s="36"/>
      <c r="C28" s="36"/>
      <c r="D28" s="36"/>
      <c r="E28" s="36"/>
      <c r="F28" s="36"/>
      <c r="I28" s="903" t="s">
        <v>1021</v>
      </c>
      <c r="J28" s="499" t="s">
        <v>533</v>
      </c>
      <c r="K28" s="894"/>
      <c r="L28" s="894"/>
      <c r="M28" s="894"/>
      <c r="N28" s="36"/>
    </row>
    <row r="29" spans="1:14" ht="12" customHeight="1">
      <c r="A29" s="36"/>
      <c r="B29" s="36"/>
      <c r="C29" s="36"/>
      <c r="D29" s="36"/>
      <c r="E29" s="36"/>
      <c r="F29" s="36"/>
      <c r="I29" s="903" t="s">
        <v>1022</v>
      </c>
      <c r="J29" s="908" t="s">
        <v>1023</v>
      </c>
      <c r="K29" s="894"/>
      <c r="L29" s="894"/>
      <c r="M29" s="894"/>
      <c r="N29" s="36"/>
    </row>
    <row r="30" spans="1:14">
      <c r="A30" s="36"/>
      <c r="B30" s="36"/>
      <c r="C30" s="36"/>
      <c r="D30" s="36"/>
      <c r="E30" s="36"/>
      <c r="F30" s="36"/>
      <c r="G30" s="66"/>
      <c r="K30" s="36"/>
      <c r="L30" s="36"/>
      <c r="M30" s="36"/>
      <c r="N30" s="36"/>
    </row>
    <row r="31" spans="1:14">
      <c r="A31" s="36"/>
      <c r="B31" s="36"/>
      <c r="C31" s="36"/>
      <c r="D31" s="36"/>
      <c r="E31" s="36"/>
      <c r="F31" s="36"/>
      <c r="G31" s="66"/>
      <c r="I31" s="66"/>
      <c r="J31" s="66"/>
      <c r="K31" s="36"/>
      <c r="L31" s="36"/>
      <c r="M31" s="36"/>
      <c r="N31" s="36"/>
    </row>
    <row r="32" spans="1:14">
      <c r="A32" s="36"/>
      <c r="B32" s="36"/>
      <c r="C32" s="36"/>
      <c r="D32" s="36"/>
      <c r="E32" s="36"/>
      <c r="F32" s="36"/>
      <c r="G32" s="36"/>
      <c r="H32" s="36"/>
      <c r="I32" s="36"/>
      <c r="J32" s="36"/>
      <c r="K32" s="36"/>
      <c r="L32" s="36"/>
      <c r="M32" s="36"/>
      <c r="N32" s="36"/>
    </row>
    <row r="33" spans="1:14">
      <c r="A33" s="36"/>
      <c r="B33" s="36"/>
      <c r="C33" s="36"/>
      <c r="D33" s="36"/>
      <c r="E33" s="36"/>
      <c r="F33" s="36"/>
      <c r="G33" s="36"/>
      <c r="H33" s="36"/>
      <c r="I33" s="36"/>
      <c r="J33" s="36"/>
      <c r="K33" s="36"/>
      <c r="L33" s="36"/>
      <c r="M33" s="36"/>
      <c r="N33" s="36"/>
    </row>
  </sheetData>
  <mergeCells count="23">
    <mergeCell ref="A7:D7"/>
    <mergeCell ref="A1:N1"/>
    <mergeCell ref="A2:N2"/>
    <mergeCell ref="E4:N4"/>
    <mergeCell ref="A4:D6"/>
    <mergeCell ref="M5:N5"/>
    <mergeCell ref="E5:F5"/>
    <mergeCell ref="G5:H5"/>
    <mergeCell ref="I5:J5"/>
    <mergeCell ref="K5:L5"/>
    <mergeCell ref="A20:D20"/>
    <mergeCell ref="B17:D17"/>
    <mergeCell ref="B16:D16"/>
    <mergeCell ref="B8:D8"/>
    <mergeCell ref="B11:D11"/>
    <mergeCell ref="B19:D19"/>
    <mergeCell ref="B14:D14"/>
    <mergeCell ref="B15:D15"/>
    <mergeCell ref="B9:D9"/>
    <mergeCell ref="B12:D12"/>
    <mergeCell ref="B13:D13"/>
    <mergeCell ref="B10:D10"/>
    <mergeCell ref="B18:D18"/>
  </mergeCells>
  <phoneticPr fontId="0" type="noConversion"/>
  <printOptions horizontalCentered="1"/>
  <pageMargins left="0.1" right="0.1" top="0.87" bottom="0.1" header="0.5" footer="0.1"/>
  <pageSetup paperSize="9" orientation="landscape" blackAndWhite="1" r:id="rId1"/>
  <headerFooter alignWithMargins="0"/>
</worksheet>
</file>

<file path=xl/worksheets/sheet32.xml><?xml version="1.0" encoding="utf-8"?>
<worksheet xmlns="http://schemas.openxmlformats.org/spreadsheetml/2006/main" xmlns:r="http://schemas.openxmlformats.org/officeDocument/2006/relationships">
  <sheetPr codeName="Sheet32"/>
  <dimension ref="A1:I42"/>
  <sheetViews>
    <sheetView topLeftCell="A16" workbookViewId="0">
      <selection activeCell="G16" sqref="G16"/>
    </sheetView>
  </sheetViews>
  <sheetFormatPr defaultRowHeight="12.75"/>
  <cols>
    <col min="1" max="1" width="1.85546875" customWidth="1"/>
    <col min="2" max="2" width="2.85546875" customWidth="1"/>
    <col min="3" max="3" width="1.140625" customWidth="1"/>
    <col min="4" max="4" width="49.85546875" customWidth="1"/>
    <col min="5" max="5" width="14" customWidth="1"/>
    <col min="6" max="6" width="14.140625" customWidth="1"/>
    <col min="7" max="7" width="13.5703125" customWidth="1"/>
    <col min="8" max="8" width="13.7109375" customWidth="1"/>
    <col min="9" max="9" width="14.5703125" customWidth="1"/>
  </cols>
  <sheetData>
    <row r="1" spans="1:9" ht="12.75" customHeight="1">
      <c r="A1" s="1393" t="s">
        <v>418</v>
      </c>
      <c r="B1" s="1393"/>
      <c r="C1" s="1393"/>
      <c r="D1" s="1393"/>
      <c r="E1" s="1393"/>
      <c r="F1" s="1393"/>
      <c r="G1" s="1393"/>
      <c r="H1" s="1393"/>
      <c r="I1" s="1393"/>
    </row>
    <row r="2" spans="1:9" ht="16.5">
      <c r="A2" s="1494" t="str">
        <f>CONCATENATE("Teachers in different type of General Educational Institutions in the district of ",District!A1)</f>
        <v>Teachers in different type of General Educational Institutions in the district of Jalpaiguri</v>
      </c>
      <c r="B2" s="1494"/>
      <c r="C2" s="1494"/>
      <c r="D2" s="1494"/>
      <c r="E2" s="1494"/>
      <c r="F2" s="1494"/>
      <c r="G2" s="1494"/>
      <c r="H2" s="1494"/>
      <c r="I2" s="1494"/>
    </row>
    <row r="3" spans="1:9" ht="12" customHeight="1">
      <c r="B3" s="4"/>
      <c r="C3" s="4"/>
      <c r="D3" s="4"/>
      <c r="E3" s="4"/>
      <c r="F3" s="4"/>
      <c r="G3" s="4"/>
      <c r="H3" s="4"/>
      <c r="I3" s="1048" t="s">
        <v>312</v>
      </c>
    </row>
    <row r="4" spans="1:9">
      <c r="A4" s="1293" t="s">
        <v>592</v>
      </c>
      <c r="B4" s="1502"/>
      <c r="C4" s="1502"/>
      <c r="D4" s="1294"/>
      <c r="E4" s="1445" t="s">
        <v>98</v>
      </c>
      <c r="F4" s="1444"/>
      <c r="G4" s="1444"/>
      <c r="H4" s="1444"/>
      <c r="I4" s="1446"/>
    </row>
    <row r="5" spans="1:9">
      <c r="A5" s="1503"/>
      <c r="B5" s="1504"/>
      <c r="C5" s="1504"/>
      <c r="D5" s="1505"/>
      <c r="E5" s="172" t="s">
        <v>1110</v>
      </c>
      <c r="F5" s="172" t="s">
        <v>1111</v>
      </c>
      <c r="G5" s="172" t="s">
        <v>641</v>
      </c>
      <c r="H5" s="172" t="s">
        <v>909</v>
      </c>
      <c r="I5" s="172" t="s">
        <v>895</v>
      </c>
    </row>
    <row r="6" spans="1:9">
      <c r="A6" s="1568" t="s">
        <v>278</v>
      </c>
      <c r="B6" s="1569"/>
      <c r="C6" s="1569"/>
      <c r="D6" s="1570"/>
      <c r="E6" s="92" t="s">
        <v>279</v>
      </c>
      <c r="F6" s="57" t="s">
        <v>280</v>
      </c>
      <c r="G6" s="87" t="s">
        <v>281</v>
      </c>
      <c r="H6" s="57" t="s">
        <v>282</v>
      </c>
      <c r="I6" s="58" t="s">
        <v>283</v>
      </c>
    </row>
    <row r="7" spans="1:9">
      <c r="A7" s="767">
        <v>1</v>
      </c>
      <c r="B7" s="1495" t="s">
        <v>1558</v>
      </c>
      <c r="C7" s="1495"/>
      <c r="D7" s="1496"/>
      <c r="E7" s="229">
        <f>SUM(E8,E13,E18,E23)</f>
        <v>14308</v>
      </c>
      <c r="F7" s="211">
        <f>SUM(F8,F13,F18,F23)</f>
        <v>15762</v>
      </c>
      <c r="G7" s="211">
        <f>SUM(G8,G13,G18,G23)</f>
        <v>16610</v>
      </c>
      <c r="H7" s="211">
        <f>SUM(H8,H13,H18,H23)</f>
        <v>16728</v>
      </c>
      <c r="I7" s="211">
        <f>SUM(I8,I13,I18,I23)</f>
        <v>16821</v>
      </c>
    </row>
    <row r="8" spans="1:9" ht="27" customHeight="1">
      <c r="A8" s="764"/>
      <c r="B8" s="112" t="s">
        <v>598</v>
      </c>
      <c r="C8" s="1509" t="s">
        <v>1025</v>
      </c>
      <c r="D8" s="1510"/>
      <c r="E8" s="786">
        <f>SUM(E9:E12)</f>
        <v>7269</v>
      </c>
      <c r="F8" s="788">
        <f>SUM(F9:F12)</f>
        <v>8357</v>
      </c>
      <c r="G8" s="788">
        <f>SUM(G9:G12)</f>
        <v>8749</v>
      </c>
      <c r="H8" s="788">
        <f>SUM(H9:H12)</f>
        <v>8746</v>
      </c>
      <c r="I8" s="788">
        <f>SUM(I9:I12)</f>
        <v>8641</v>
      </c>
    </row>
    <row r="9" spans="1:9">
      <c r="A9" s="764"/>
      <c r="B9" s="7"/>
      <c r="C9" s="7"/>
      <c r="D9" s="82" t="s">
        <v>593</v>
      </c>
      <c r="E9" s="149">
        <v>7250</v>
      </c>
      <c r="F9" s="149">
        <v>8338</v>
      </c>
      <c r="G9" s="149">
        <v>8730</v>
      </c>
      <c r="H9" s="149">
        <v>8728</v>
      </c>
      <c r="I9" s="149">
        <v>8623</v>
      </c>
    </row>
    <row r="10" spans="1:9">
      <c r="A10" s="764"/>
      <c r="B10" s="7"/>
      <c r="C10" s="7"/>
      <c r="D10" s="82" t="s">
        <v>594</v>
      </c>
      <c r="E10" s="149">
        <v>19</v>
      </c>
      <c r="F10" s="149">
        <v>19</v>
      </c>
      <c r="G10" s="149">
        <v>19</v>
      </c>
      <c r="H10" s="149">
        <v>18</v>
      </c>
      <c r="I10" s="149">
        <v>18</v>
      </c>
    </row>
    <row r="11" spans="1:9">
      <c r="A11" s="764"/>
      <c r="B11" s="7"/>
      <c r="C11" s="7"/>
      <c r="D11" s="82" t="s">
        <v>595</v>
      </c>
      <c r="E11" s="291" t="s">
        <v>570</v>
      </c>
      <c r="F11" s="291" t="s">
        <v>570</v>
      </c>
      <c r="G11" s="291" t="s">
        <v>570</v>
      </c>
      <c r="H11" s="291" t="s">
        <v>570</v>
      </c>
      <c r="I11" s="291" t="s">
        <v>570</v>
      </c>
    </row>
    <row r="12" spans="1:9">
      <c r="A12" s="764"/>
      <c r="B12" s="7"/>
      <c r="C12" s="7"/>
      <c r="D12" s="82" t="s">
        <v>253</v>
      </c>
      <c r="E12" s="291" t="s">
        <v>570</v>
      </c>
      <c r="F12" s="291" t="s">
        <v>570</v>
      </c>
      <c r="G12" s="291" t="s">
        <v>570</v>
      </c>
      <c r="H12" s="291" t="s">
        <v>570</v>
      </c>
      <c r="I12" s="291" t="s">
        <v>570</v>
      </c>
    </row>
    <row r="13" spans="1:9" ht="26.25" customHeight="1">
      <c r="A13" s="764"/>
      <c r="B13" s="112" t="s">
        <v>596</v>
      </c>
      <c r="C13" s="1509" t="s">
        <v>1026</v>
      </c>
      <c r="D13" s="1510"/>
      <c r="E13" s="786">
        <f>SUM(E14:E17)</f>
        <v>212</v>
      </c>
      <c r="F13" s="788">
        <f>SUM(F14:F17)</f>
        <v>274</v>
      </c>
      <c r="G13" s="788">
        <f>SUM(G14:G17)</f>
        <v>296</v>
      </c>
      <c r="H13" s="788">
        <f>SUM(H14:H17)</f>
        <v>346</v>
      </c>
      <c r="I13" s="788">
        <f>SUM(I14:I17)</f>
        <v>440</v>
      </c>
    </row>
    <row r="14" spans="1:9">
      <c r="A14" s="764"/>
      <c r="B14" s="7"/>
      <c r="C14" s="7"/>
      <c r="D14" s="82" t="s">
        <v>711</v>
      </c>
      <c r="E14" s="149">
        <v>159</v>
      </c>
      <c r="F14" s="149">
        <v>220</v>
      </c>
      <c r="G14" s="149">
        <v>227</v>
      </c>
      <c r="H14" s="149">
        <v>274</v>
      </c>
      <c r="I14" s="149">
        <v>338</v>
      </c>
    </row>
    <row r="15" spans="1:9">
      <c r="A15" s="764"/>
      <c r="B15" s="7"/>
      <c r="C15" s="7"/>
      <c r="D15" s="82" t="s">
        <v>712</v>
      </c>
      <c r="E15" s="149" t="s">
        <v>570</v>
      </c>
      <c r="F15" s="149" t="s">
        <v>570</v>
      </c>
      <c r="G15" s="149">
        <v>14</v>
      </c>
      <c r="H15" s="149">
        <v>16</v>
      </c>
      <c r="I15" s="149">
        <v>36</v>
      </c>
    </row>
    <row r="16" spans="1:9">
      <c r="A16" s="764"/>
      <c r="B16" s="7"/>
      <c r="C16" s="7"/>
      <c r="D16" s="82" t="s">
        <v>595</v>
      </c>
      <c r="E16" s="149">
        <v>53</v>
      </c>
      <c r="F16" s="149">
        <v>54</v>
      </c>
      <c r="G16" s="149">
        <v>55</v>
      </c>
      <c r="H16" s="149">
        <v>56</v>
      </c>
      <c r="I16" s="149">
        <v>66</v>
      </c>
    </row>
    <row r="17" spans="1:9">
      <c r="A17" s="764"/>
      <c r="B17" s="7"/>
      <c r="C17" s="7"/>
      <c r="D17" s="82" t="s">
        <v>253</v>
      </c>
      <c r="E17" s="291" t="s">
        <v>570</v>
      </c>
      <c r="F17" s="291" t="s">
        <v>570</v>
      </c>
      <c r="G17" s="291" t="s">
        <v>570</v>
      </c>
      <c r="H17" s="291" t="s">
        <v>570</v>
      </c>
      <c r="I17" s="291" t="s">
        <v>570</v>
      </c>
    </row>
    <row r="18" spans="1:9" ht="27" customHeight="1">
      <c r="A18" s="764"/>
      <c r="B18" s="150" t="s">
        <v>597</v>
      </c>
      <c r="C18" s="1509" t="s">
        <v>1035</v>
      </c>
      <c r="D18" s="1510"/>
      <c r="E18" s="786">
        <f>SUM(E19:E22)</f>
        <v>2710</v>
      </c>
      <c r="F18" s="788">
        <f>SUM(F19:F22)</f>
        <v>2623</v>
      </c>
      <c r="G18" s="788">
        <f>SUM(G19:G22)</f>
        <v>2601</v>
      </c>
      <c r="H18" s="788">
        <f>SUM(H19:H22)</f>
        <v>2429</v>
      </c>
      <c r="I18" s="788">
        <f>SUM(I19:I22)</f>
        <v>1857</v>
      </c>
    </row>
    <row r="19" spans="1:9">
      <c r="A19" s="764"/>
      <c r="B19" s="7"/>
      <c r="C19" s="7"/>
      <c r="D19" s="82" t="s">
        <v>711</v>
      </c>
      <c r="E19" s="149">
        <v>2114</v>
      </c>
      <c r="F19" s="149">
        <v>2010</v>
      </c>
      <c r="G19" s="149">
        <v>2012</v>
      </c>
      <c r="H19" s="149">
        <v>1838</v>
      </c>
      <c r="I19" s="149">
        <v>1326</v>
      </c>
    </row>
    <row r="20" spans="1:9">
      <c r="A20" s="764"/>
      <c r="B20" s="7"/>
      <c r="C20" s="7"/>
      <c r="D20" s="82" t="s">
        <v>713</v>
      </c>
      <c r="E20" s="149">
        <v>48</v>
      </c>
      <c r="F20" s="149">
        <v>53</v>
      </c>
      <c r="G20" s="149">
        <v>28</v>
      </c>
      <c r="H20" s="149">
        <v>28</v>
      </c>
      <c r="I20" s="149">
        <v>30</v>
      </c>
    </row>
    <row r="21" spans="1:9">
      <c r="A21" s="764"/>
      <c r="B21" s="7"/>
      <c r="C21" s="7"/>
      <c r="D21" s="82" t="s">
        <v>595</v>
      </c>
      <c r="E21" s="149">
        <v>506</v>
      </c>
      <c r="F21" s="149">
        <v>516</v>
      </c>
      <c r="G21" s="149">
        <v>537</v>
      </c>
      <c r="H21" s="149">
        <v>538</v>
      </c>
      <c r="I21" s="149">
        <v>474</v>
      </c>
    </row>
    <row r="22" spans="1:9">
      <c r="A22" s="764"/>
      <c r="B22" s="7"/>
      <c r="C22" s="7"/>
      <c r="D22" s="82" t="s">
        <v>253</v>
      </c>
      <c r="E22" s="149">
        <v>42</v>
      </c>
      <c r="F22" s="149">
        <v>44</v>
      </c>
      <c r="G22" s="149">
        <v>24</v>
      </c>
      <c r="H22" s="149">
        <v>25</v>
      </c>
      <c r="I22" s="149">
        <v>27</v>
      </c>
    </row>
    <row r="23" spans="1:9" ht="25.5" customHeight="1">
      <c r="A23" s="764"/>
      <c r="B23" s="112" t="s">
        <v>599</v>
      </c>
      <c r="C23" s="1509" t="s">
        <v>1033</v>
      </c>
      <c r="D23" s="1510"/>
      <c r="E23" s="786">
        <f>SUM(E24:E28)</f>
        <v>4117</v>
      </c>
      <c r="F23" s="788">
        <f>SUM(F24:F28)</f>
        <v>4508</v>
      </c>
      <c r="G23" s="788">
        <f>SUM(G24:G28)</f>
        <v>4964</v>
      </c>
      <c r="H23" s="788">
        <f>SUM(H24:H28)</f>
        <v>5207</v>
      </c>
      <c r="I23" s="788">
        <f>SUM(I24:I28)</f>
        <v>5883</v>
      </c>
    </row>
    <row r="24" spans="1:9">
      <c r="A24" s="764"/>
      <c r="B24" s="7"/>
      <c r="C24" s="83"/>
      <c r="D24" s="82" t="s">
        <v>1223</v>
      </c>
      <c r="E24" s="149">
        <v>3541</v>
      </c>
      <c r="F24" s="149">
        <v>3913</v>
      </c>
      <c r="G24" s="149">
        <v>4295</v>
      </c>
      <c r="H24" s="149">
        <v>4510</v>
      </c>
      <c r="I24" s="149">
        <v>5057</v>
      </c>
    </row>
    <row r="25" spans="1:9">
      <c r="A25" s="764"/>
      <c r="B25" s="7"/>
      <c r="C25" s="83"/>
      <c r="D25" s="82" t="s">
        <v>1224</v>
      </c>
      <c r="E25" s="149">
        <v>46</v>
      </c>
      <c r="F25" s="149">
        <v>45</v>
      </c>
      <c r="G25" s="149">
        <v>46</v>
      </c>
      <c r="H25" s="149">
        <v>45</v>
      </c>
      <c r="I25" s="149">
        <v>46</v>
      </c>
    </row>
    <row r="26" spans="1:9">
      <c r="A26" s="764"/>
      <c r="B26" s="7"/>
      <c r="C26" s="83"/>
      <c r="D26" s="82" t="s">
        <v>595</v>
      </c>
      <c r="E26" s="149">
        <v>472</v>
      </c>
      <c r="F26" s="149">
        <v>492</v>
      </c>
      <c r="G26" s="149">
        <v>498</v>
      </c>
      <c r="H26" s="149">
        <v>520</v>
      </c>
      <c r="I26" s="149">
        <v>636</v>
      </c>
    </row>
    <row r="27" spans="1:9">
      <c r="A27" s="764"/>
      <c r="B27" s="7"/>
      <c r="C27" s="83"/>
      <c r="D27" s="82" t="s">
        <v>253</v>
      </c>
      <c r="E27" s="291" t="s">
        <v>570</v>
      </c>
      <c r="F27" s="291" t="s">
        <v>570</v>
      </c>
      <c r="G27" s="291">
        <v>34</v>
      </c>
      <c r="H27" s="291">
        <v>39</v>
      </c>
      <c r="I27" s="291">
        <v>42</v>
      </c>
    </row>
    <row r="28" spans="1:9">
      <c r="A28" s="764"/>
      <c r="B28" s="7"/>
      <c r="C28" s="83"/>
      <c r="D28" s="82" t="s">
        <v>603</v>
      </c>
      <c r="E28" s="291">
        <v>58</v>
      </c>
      <c r="F28" s="149">
        <v>58</v>
      </c>
      <c r="G28" s="149">
        <v>91</v>
      </c>
      <c r="H28" s="149">
        <v>93</v>
      </c>
      <c r="I28" s="149">
        <v>102</v>
      </c>
    </row>
    <row r="29" spans="1:9">
      <c r="A29" s="768">
        <v>2</v>
      </c>
      <c r="B29" s="1566" t="s">
        <v>1559</v>
      </c>
      <c r="C29" s="1566"/>
      <c r="D29" s="1567"/>
      <c r="E29" s="443">
        <v>267</v>
      </c>
      <c r="F29" s="443">
        <v>294</v>
      </c>
      <c r="G29" s="443">
        <v>305</v>
      </c>
      <c r="H29" s="443">
        <v>317</v>
      </c>
      <c r="I29" s="443">
        <v>356</v>
      </c>
    </row>
    <row r="30" spans="1:9" ht="26.25" customHeight="1">
      <c r="A30" s="770">
        <v>3</v>
      </c>
      <c r="B30" s="1509" t="s">
        <v>1494</v>
      </c>
      <c r="C30" s="1513"/>
      <c r="D30" s="1514"/>
      <c r="E30" s="790" t="s">
        <v>570</v>
      </c>
      <c r="F30" s="443" t="s">
        <v>570</v>
      </c>
      <c r="G30" s="443" t="s">
        <v>570</v>
      </c>
      <c r="H30" s="443" t="s">
        <v>570</v>
      </c>
      <c r="I30" s="443" t="s">
        <v>570</v>
      </c>
    </row>
    <row r="31" spans="1:9">
      <c r="A31" s="769">
        <v>4</v>
      </c>
      <c r="B31" s="1497" t="s">
        <v>0</v>
      </c>
      <c r="C31" s="1497"/>
      <c r="D31" s="1498"/>
      <c r="E31" s="446">
        <v>61</v>
      </c>
      <c r="F31" s="446">
        <v>43</v>
      </c>
      <c r="G31" s="446">
        <v>47</v>
      </c>
      <c r="H31" s="446">
        <v>51</v>
      </c>
      <c r="I31" s="446">
        <v>77</v>
      </c>
    </row>
    <row r="32" spans="1:9" ht="12" customHeight="1">
      <c r="C32" s="36"/>
      <c r="D32" s="36"/>
      <c r="E32" s="905" t="s">
        <v>960</v>
      </c>
      <c r="F32" s="908" t="s">
        <v>649</v>
      </c>
      <c r="G32" s="908"/>
      <c r="H32" s="908"/>
      <c r="I32" s="908"/>
    </row>
    <row r="33" spans="3:9" ht="12" customHeight="1">
      <c r="C33" s="36"/>
      <c r="D33" s="36"/>
      <c r="E33" s="908"/>
      <c r="F33" s="908" t="s">
        <v>650</v>
      </c>
      <c r="G33" s="908"/>
      <c r="H33" s="908"/>
      <c r="I33" s="908"/>
    </row>
    <row r="34" spans="3:9" ht="12" customHeight="1">
      <c r="C34" s="36"/>
      <c r="D34" s="36"/>
      <c r="E34" s="908"/>
      <c r="F34" s="914" t="s">
        <v>647</v>
      </c>
      <c r="G34" s="914"/>
      <c r="H34" s="914"/>
      <c r="I34" s="914"/>
    </row>
    <row r="35" spans="3:9" ht="12" customHeight="1">
      <c r="C35" s="36"/>
      <c r="D35" s="36"/>
      <c r="E35" s="908"/>
      <c r="F35" s="914" t="s">
        <v>838</v>
      </c>
      <c r="G35" s="914"/>
      <c r="H35" s="914"/>
      <c r="I35" s="914"/>
    </row>
    <row r="36" spans="3:9" ht="12" customHeight="1">
      <c r="C36" s="36"/>
      <c r="D36" s="36"/>
      <c r="E36" s="908"/>
      <c r="F36" s="908" t="s">
        <v>601</v>
      </c>
      <c r="G36" s="908"/>
      <c r="H36" s="908"/>
      <c r="I36" s="908"/>
    </row>
    <row r="37" spans="3:9" ht="12" customHeight="1">
      <c r="C37" s="36"/>
      <c r="D37" s="36"/>
      <c r="E37" s="908"/>
      <c r="F37" s="908" t="s">
        <v>602</v>
      </c>
      <c r="G37" s="908"/>
      <c r="H37" s="908"/>
      <c r="I37" s="908"/>
    </row>
    <row r="38" spans="3:9" ht="12" customHeight="1">
      <c r="C38" s="36"/>
      <c r="D38" s="36"/>
      <c r="E38" s="908"/>
      <c r="F38" s="908" t="s">
        <v>648</v>
      </c>
      <c r="G38" s="908"/>
      <c r="H38" s="908"/>
      <c r="I38" s="908"/>
    </row>
    <row r="39" spans="3:9" ht="12" customHeight="1">
      <c r="C39" s="36"/>
      <c r="D39" s="36"/>
      <c r="E39" s="36"/>
      <c r="F39" s="36"/>
      <c r="G39" s="36"/>
      <c r="H39" s="36"/>
      <c r="I39" s="36"/>
    </row>
    <row r="40" spans="3:9">
      <c r="C40" s="36"/>
      <c r="D40" s="36"/>
      <c r="E40" s="36"/>
      <c r="F40" s="36"/>
      <c r="G40" s="36"/>
      <c r="H40" s="36"/>
      <c r="I40" s="36"/>
    </row>
    <row r="41" spans="3:9">
      <c r="C41" s="36"/>
      <c r="D41" s="36"/>
      <c r="E41" s="36"/>
      <c r="F41" s="36"/>
      <c r="G41" s="36"/>
      <c r="H41" s="36"/>
      <c r="I41" s="36"/>
    </row>
    <row r="42" spans="3:9">
      <c r="C42" s="36"/>
      <c r="D42" s="36"/>
      <c r="E42" s="36"/>
      <c r="F42" s="36"/>
      <c r="G42" s="36"/>
      <c r="H42" s="36"/>
      <c r="I42" s="36"/>
    </row>
  </sheetData>
  <mergeCells count="13">
    <mergeCell ref="C8:D8"/>
    <mergeCell ref="A1:I1"/>
    <mergeCell ref="B7:D7"/>
    <mergeCell ref="A6:D6"/>
    <mergeCell ref="A2:I2"/>
    <mergeCell ref="A4:D5"/>
    <mergeCell ref="E4:I4"/>
    <mergeCell ref="C13:D13"/>
    <mergeCell ref="C18:D18"/>
    <mergeCell ref="C23:D23"/>
    <mergeCell ref="B31:D31"/>
    <mergeCell ref="B30:D30"/>
    <mergeCell ref="B29:D29"/>
  </mergeCells>
  <phoneticPr fontId="0" type="noConversion"/>
  <printOptions horizontalCentered="1"/>
  <pageMargins left="0.1" right="0.1" top="0.28000000000000003" bottom="0.1" header="0.25" footer="0.1"/>
  <pageSetup paperSize="9" orientation="landscape" blackAndWhite="1" r:id="rId1"/>
  <headerFooter alignWithMargins="0"/>
</worksheet>
</file>

<file path=xl/worksheets/sheet33.xml><?xml version="1.0" encoding="utf-8"?>
<worksheet xmlns="http://schemas.openxmlformats.org/spreadsheetml/2006/main" xmlns:r="http://schemas.openxmlformats.org/officeDocument/2006/relationships">
  <sheetPr codeName="Sheet33"/>
  <dimension ref="A1:I45"/>
  <sheetViews>
    <sheetView topLeftCell="A23" workbookViewId="0">
      <selection activeCell="G16" sqref="G16"/>
    </sheetView>
  </sheetViews>
  <sheetFormatPr defaultRowHeight="12.75"/>
  <cols>
    <col min="1" max="1" width="2.28515625" customWidth="1"/>
    <col min="2" max="2" width="3.140625" customWidth="1"/>
    <col min="3" max="3" width="1.28515625" customWidth="1"/>
    <col min="4" max="4" width="50.85546875" customWidth="1"/>
    <col min="5" max="9" width="14.42578125" customWidth="1"/>
  </cols>
  <sheetData>
    <row r="1" spans="1:9" ht="12.75" customHeight="1">
      <c r="A1" s="1524" t="s">
        <v>419</v>
      </c>
      <c r="B1" s="1524"/>
      <c r="C1" s="1524"/>
      <c r="D1" s="1524"/>
      <c r="E1" s="1524"/>
      <c r="F1" s="1524"/>
      <c r="G1" s="1524"/>
      <c r="H1" s="1524"/>
      <c r="I1" s="1524"/>
    </row>
    <row r="2" spans="1:9" ht="16.5">
      <c r="A2" s="1353" t="str">
        <f>CONCATENATE("Teachers in different type of Professional &amp; Technical Educational Institutions in the district of ",District!A1)</f>
        <v>Teachers in different type of Professional &amp; Technical Educational Institutions in the district of Jalpaiguri</v>
      </c>
      <c r="B2" s="1353"/>
      <c r="C2" s="1353"/>
      <c r="D2" s="1353"/>
      <c r="E2" s="1353"/>
      <c r="F2" s="1353"/>
      <c r="G2" s="1353"/>
      <c r="H2" s="1353"/>
      <c r="I2" s="1353"/>
    </row>
    <row r="3" spans="1:9" ht="12" customHeight="1">
      <c r="B3" s="72"/>
      <c r="I3" s="1056" t="s">
        <v>312</v>
      </c>
    </row>
    <row r="4" spans="1:9" ht="14.25" customHeight="1">
      <c r="A4" s="1293" t="s">
        <v>882</v>
      </c>
      <c r="B4" s="1502"/>
      <c r="C4" s="1502"/>
      <c r="D4" s="1294"/>
      <c r="E4" s="1445" t="s">
        <v>98</v>
      </c>
      <c r="F4" s="1444"/>
      <c r="G4" s="1444"/>
      <c r="H4" s="1444"/>
      <c r="I4" s="1446"/>
    </row>
    <row r="5" spans="1:9" ht="14.25" customHeight="1">
      <c r="A5" s="1503"/>
      <c r="B5" s="1504"/>
      <c r="C5" s="1504"/>
      <c r="D5" s="1505"/>
      <c r="E5" s="172" t="s">
        <v>1110</v>
      </c>
      <c r="F5" s="172" t="s">
        <v>1111</v>
      </c>
      <c r="G5" s="172" t="s">
        <v>641</v>
      </c>
      <c r="H5" s="172" t="s">
        <v>909</v>
      </c>
      <c r="I5" s="172" t="s">
        <v>895</v>
      </c>
    </row>
    <row r="6" spans="1:9" ht="14.25" customHeight="1">
      <c r="A6" s="1549" t="s">
        <v>278</v>
      </c>
      <c r="B6" s="1550"/>
      <c r="C6" s="1550"/>
      <c r="D6" s="1551"/>
      <c r="E6" s="285" t="s">
        <v>279</v>
      </c>
      <c r="F6" s="810" t="s">
        <v>280</v>
      </c>
      <c r="G6" s="811" t="s">
        <v>281</v>
      </c>
      <c r="H6" s="810" t="s">
        <v>282</v>
      </c>
      <c r="I6" s="812" t="s">
        <v>283</v>
      </c>
    </row>
    <row r="7" spans="1:9" ht="13.5" customHeight="1">
      <c r="A7" s="118">
        <v>1</v>
      </c>
      <c r="B7" s="1495" t="s">
        <v>1465</v>
      </c>
      <c r="C7" s="1495"/>
      <c r="D7" s="1496"/>
      <c r="E7" s="229">
        <f>SUM(E8,E13,E16)</f>
        <v>170</v>
      </c>
      <c r="F7" s="211">
        <f>SUM(F8,F13,F16)</f>
        <v>179</v>
      </c>
      <c r="G7" s="211">
        <f>SUM(G8,G13,G16)</f>
        <v>193</v>
      </c>
      <c r="H7" s="211">
        <f>SUM(H8,H13,H16)</f>
        <v>202</v>
      </c>
      <c r="I7" s="211">
        <f>SUM(I8,I13,I16)</f>
        <v>217</v>
      </c>
    </row>
    <row r="8" spans="1:9" ht="13.5" customHeight="1">
      <c r="A8" s="42"/>
      <c r="B8" s="7" t="s">
        <v>598</v>
      </c>
      <c r="C8" s="111" t="s">
        <v>675</v>
      </c>
      <c r="D8" s="114"/>
      <c r="E8" s="786">
        <f>SUM(E9:E12)</f>
        <v>49</v>
      </c>
      <c r="F8" s="786">
        <f>SUM(F9:F12)</f>
        <v>52</v>
      </c>
      <c r="G8" s="786">
        <f>SUM(G9:G12)</f>
        <v>55</v>
      </c>
      <c r="H8" s="786">
        <f>SUM(H9:H12)</f>
        <v>55</v>
      </c>
      <c r="I8" s="786">
        <f>SUM(I9:I12)</f>
        <v>61</v>
      </c>
    </row>
    <row r="9" spans="1:9" ht="13.5" customHeight="1">
      <c r="A9" s="42"/>
      <c r="B9" s="7"/>
      <c r="C9" s="7"/>
      <c r="D9" s="436" t="s">
        <v>676</v>
      </c>
      <c r="E9" s="291" t="s">
        <v>570</v>
      </c>
      <c r="F9" s="291" t="s">
        <v>570</v>
      </c>
      <c r="G9" s="291" t="s">
        <v>570</v>
      </c>
      <c r="H9" s="291" t="s">
        <v>570</v>
      </c>
      <c r="I9" s="291" t="s">
        <v>570</v>
      </c>
    </row>
    <row r="10" spans="1:9" ht="13.5" customHeight="1">
      <c r="A10" s="42"/>
      <c r="B10" s="7"/>
      <c r="C10" s="7"/>
      <c r="D10" s="436" t="s">
        <v>259</v>
      </c>
      <c r="E10" s="291" t="s">
        <v>570</v>
      </c>
      <c r="F10" s="291" t="s">
        <v>570</v>
      </c>
      <c r="G10" s="291" t="s">
        <v>570</v>
      </c>
      <c r="H10" s="291" t="s">
        <v>570</v>
      </c>
      <c r="I10" s="291" t="s">
        <v>570</v>
      </c>
    </row>
    <row r="11" spans="1:9" ht="13.5" customHeight="1">
      <c r="A11" s="42"/>
      <c r="B11" s="7"/>
      <c r="C11" s="7"/>
      <c r="D11" s="436" t="s">
        <v>677</v>
      </c>
      <c r="E11" s="149">
        <v>34</v>
      </c>
      <c r="F11" s="149">
        <v>37</v>
      </c>
      <c r="G11" s="149">
        <v>55</v>
      </c>
      <c r="H11" s="149">
        <v>55</v>
      </c>
      <c r="I11" s="149">
        <v>61</v>
      </c>
    </row>
    <row r="12" spans="1:9" ht="13.5" customHeight="1">
      <c r="A12" s="42"/>
      <c r="B12" s="7"/>
      <c r="C12" s="7"/>
      <c r="D12" s="436" t="s">
        <v>1225</v>
      </c>
      <c r="E12" s="149">
        <v>15</v>
      </c>
      <c r="F12" s="149">
        <v>15</v>
      </c>
      <c r="G12" s="149" t="s">
        <v>570</v>
      </c>
      <c r="H12" s="149" t="s">
        <v>570</v>
      </c>
      <c r="I12" s="149" t="s">
        <v>570</v>
      </c>
    </row>
    <row r="13" spans="1:9" ht="13.5" customHeight="1">
      <c r="A13" s="42"/>
      <c r="B13" s="7" t="s">
        <v>596</v>
      </c>
      <c r="C13" s="111" t="s">
        <v>678</v>
      </c>
      <c r="D13" s="797"/>
      <c r="E13" s="786">
        <f>SUM(E14:E15)</f>
        <v>19</v>
      </c>
      <c r="F13" s="788">
        <f>SUM(F14:F15)</f>
        <v>19</v>
      </c>
      <c r="G13" s="788">
        <f>SUM(G14:G15)</f>
        <v>30</v>
      </c>
      <c r="H13" s="788">
        <f>SUM(H14:H15)</f>
        <v>32</v>
      </c>
      <c r="I13" s="788">
        <f>SUM(I14:I15)</f>
        <v>36</v>
      </c>
    </row>
    <row r="14" spans="1:9" ht="13.5" customHeight="1">
      <c r="A14" s="42"/>
      <c r="B14" s="7"/>
      <c r="C14" s="7"/>
      <c r="D14" s="798" t="s">
        <v>680</v>
      </c>
      <c r="E14" s="149">
        <v>10</v>
      </c>
      <c r="F14" s="149">
        <v>10</v>
      </c>
      <c r="G14" s="149">
        <v>21</v>
      </c>
      <c r="H14" s="149">
        <v>22</v>
      </c>
      <c r="I14" s="149">
        <v>23</v>
      </c>
    </row>
    <row r="15" spans="1:9" ht="13.5" customHeight="1">
      <c r="A15" s="42"/>
      <c r="B15" s="7"/>
      <c r="C15" s="7"/>
      <c r="D15" s="436" t="s">
        <v>681</v>
      </c>
      <c r="E15" s="149">
        <v>9</v>
      </c>
      <c r="F15" s="149">
        <v>9</v>
      </c>
      <c r="G15" s="149">
        <v>9</v>
      </c>
      <c r="H15" s="149">
        <v>10</v>
      </c>
      <c r="I15" s="149">
        <v>13</v>
      </c>
    </row>
    <row r="16" spans="1:9" ht="28.5" customHeight="1">
      <c r="A16" s="42"/>
      <c r="B16" s="112" t="s">
        <v>597</v>
      </c>
      <c r="C16" s="1571" t="s">
        <v>1231</v>
      </c>
      <c r="D16" s="1572"/>
      <c r="E16" s="146">
        <v>102</v>
      </c>
      <c r="F16" s="146">
        <v>108</v>
      </c>
      <c r="G16" s="146">
        <v>108</v>
      </c>
      <c r="H16" s="146">
        <v>115</v>
      </c>
      <c r="I16" s="146">
        <v>120</v>
      </c>
    </row>
    <row r="17" spans="1:9" ht="13.5" customHeight="1">
      <c r="A17" s="119">
        <v>2</v>
      </c>
      <c r="B17" s="1522" t="s">
        <v>1466</v>
      </c>
      <c r="C17" s="1522"/>
      <c r="D17" s="1523"/>
      <c r="E17" s="229">
        <f>E18+E25+E28</f>
        <v>175</v>
      </c>
      <c r="F17" s="211">
        <f>F18+F25+F28</f>
        <v>181</v>
      </c>
      <c r="G17" s="211">
        <f>G18+G25+G28</f>
        <v>187</v>
      </c>
      <c r="H17" s="211">
        <f>H18+H25+H28</f>
        <v>168</v>
      </c>
      <c r="I17" s="211">
        <f>I18+I25+I28</f>
        <v>192</v>
      </c>
    </row>
    <row r="18" spans="1:9" ht="13.5" customHeight="1">
      <c r="A18" s="42"/>
      <c r="B18" s="777" t="s">
        <v>598</v>
      </c>
      <c r="C18" s="799" t="s">
        <v>682</v>
      </c>
      <c r="D18" s="797"/>
      <c r="E18" s="786">
        <f>SUM(E19:E24)</f>
        <v>122</v>
      </c>
      <c r="F18" s="788">
        <f>SUM(F19:F24)</f>
        <v>124</v>
      </c>
      <c r="G18" s="788">
        <f>SUM(G19:G24)</f>
        <v>127</v>
      </c>
      <c r="H18" s="788">
        <f>SUM(H19:H24)</f>
        <v>128</v>
      </c>
      <c r="I18" s="788">
        <f>SUM(I19:I24)</f>
        <v>141</v>
      </c>
    </row>
    <row r="19" spans="1:9" ht="25.5" customHeight="1">
      <c r="A19" s="42"/>
      <c r="B19" s="7"/>
      <c r="C19" s="7"/>
      <c r="D19" s="115" t="s">
        <v>10</v>
      </c>
      <c r="E19" s="291" t="s">
        <v>570</v>
      </c>
      <c r="F19" s="291" t="s">
        <v>570</v>
      </c>
      <c r="G19" s="291" t="s">
        <v>570</v>
      </c>
      <c r="H19" s="291" t="s">
        <v>570</v>
      </c>
      <c r="I19" s="291" t="s">
        <v>570</v>
      </c>
    </row>
    <row r="20" spans="1:9" ht="13.5" customHeight="1">
      <c r="A20" s="42"/>
      <c r="B20" s="7"/>
      <c r="C20" s="7"/>
      <c r="D20" s="436" t="s">
        <v>684</v>
      </c>
      <c r="E20" s="149">
        <v>45</v>
      </c>
      <c r="F20" s="149">
        <v>48</v>
      </c>
      <c r="G20" s="149">
        <v>49</v>
      </c>
      <c r="H20" s="149">
        <v>51</v>
      </c>
      <c r="I20" s="149">
        <v>61</v>
      </c>
    </row>
    <row r="21" spans="1:9" ht="13.5" customHeight="1">
      <c r="A21" s="42"/>
      <c r="B21" s="7"/>
      <c r="C21" s="7"/>
      <c r="D21" s="436" t="s">
        <v>685</v>
      </c>
      <c r="E21" s="149">
        <v>3</v>
      </c>
      <c r="F21" s="149">
        <v>3</v>
      </c>
      <c r="G21" s="149">
        <v>3</v>
      </c>
      <c r="H21" s="149">
        <v>3</v>
      </c>
      <c r="I21" s="149">
        <v>3</v>
      </c>
    </row>
    <row r="22" spans="1:9" ht="13.5" customHeight="1">
      <c r="A22" s="42"/>
      <c r="B22" s="7"/>
      <c r="C22" s="7"/>
      <c r="D22" s="436" t="s">
        <v>686</v>
      </c>
      <c r="E22" s="149">
        <v>58</v>
      </c>
      <c r="F22" s="149">
        <v>58</v>
      </c>
      <c r="G22" s="149">
        <v>61</v>
      </c>
      <c r="H22" s="149">
        <v>60</v>
      </c>
      <c r="I22" s="149">
        <v>63</v>
      </c>
    </row>
    <row r="23" spans="1:9" ht="13.5" customHeight="1">
      <c r="A23" s="42"/>
      <c r="B23" s="7"/>
      <c r="C23" s="7"/>
      <c r="D23" s="436" t="s">
        <v>687</v>
      </c>
      <c r="E23" s="149">
        <v>16</v>
      </c>
      <c r="F23" s="149">
        <v>15</v>
      </c>
      <c r="G23" s="149">
        <v>14</v>
      </c>
      <c r="H23" s="149">
        <v>14</v>
      </c>
      <c r="I23" s="149">
        <v>14</v>
      </c>
    </row>
    <row r="24" spans="1:9" ht="38.25">
      <c r="A24" s="42"/>
      <c r="B24" s="7"/>
      <c r="C24" s="7"/>
      <c r="D24" s="116" t="s">
        <v>26</v>
      </c>
      <c r="E24" s="291" t="s">
        <v>570</v>
      </c>
      <c r="F24" s="291" t="s">
        <v>570</v>
      </c>
      <c r="G24" s="291" t="s">
        <v>570</v>
      </c>
      <c r="H24" s="291" t="s">
        <v>570</v>
      </c>
      <c r="I24" s="291" t="s">
        <v>570</v>
      </c>
    </row>
    <row r="25" spans="1:9" ht="13.5" customHeight="1">
      <c r="A25" s="42"/>
      <c r="B25" s="392" t="s">
        <v>596</v>
      </c>
      <c r="C25" s="799" t="s">
        <v>688</v>
      </c>
      <c r="D25" s="797"/>
      <c r="E25" s="786">
        <f>SUM(E26:E27)</f>
        <v>36</v>
      </c>
      <c r="F25" s="788">
        <f>SUM(F26:F27)</f>
        <v>40</v>
      </c>
      <c r="G25" s="788">
        <f>SUM(G26:G27)</f>
        <v>45</v>
      </c>
      <c r="H25" s="788">
        <f>SUM(H26:H27)</f>
        <v>27</v>
      </c>
      <c r="I25" s="788">
        <f>SUM(I26:I27)</f>
        <v>40</v>
      </c>
    </row>
    <row r="26" spans="1:9" ht="13.5" customHeight="1">
      <c r="A26" s="42"/>
      <c r="B26" s="392"/>
      <c r="C26" s="392"/>
      <c r="D26" s="436" t="s">
        <v>689</v>
      </c>
      <c r="E26" s="149">
        <v>36</v>
      </c>
      <c r="F26" s="149">
        <v>40</v>
      </c>
      <c r="G26" s="149">
        <v>45</v>
      </c>
      <c r="H26" s="149">
        <v>27</v>
      </c>
      <c r="I26" s="149">
        <v>40</v>
      </c>
    </row>
    <row r="27" spans="1:9" ht="13.5" customHeight="1">
      <c r="A27" s="42"/>
      <c r="B27" s="392"/>
      <c r="C27" s="392"/>
      <c r="D27" s="436" t="s">
        <v>690</v>
      </c>
      <c r="E27" s="291" t="s">
        <v>570</v>
      </c>
      <c r="F27" s="291" t="s">
        <v>570</v>
      </c>
      <c r="G27" s="291" t="s">
        <v>570</v>
      </c>
      <c r="H27" s="291" t="s">
        <v>570</v>
      </c>
      <c r="I27" s="291" t="s">
        <v>570</v>
      </c>
    </row>
    <row r="28" spans="1:9" ht="13.5" customHeight="1">
      <c r="A28" s="42"/>
      <c r="B28" s="777" t="s">
        <v>597</v>
      </c>
      <c r="C28" s="799" t="s">
        <v>1034</v>
      </c>
      <c r="D28" s="797"/>
      <c r="E28" s="786">
        <f>SUM(E29:E33)</f>
        <v>17</v>
      </c>
      <c r="F28" s="788">
        <f>SUM(F29:F33)</f>
        <v>17</v>
      </c>
      <c r="G28" s="788">
        <f>SUM(G29:G33)</f>
        <v>15</v>
      </c>
      <c r="H28" s="788">
        <f>SUM(H29:H33)</f>
        <v>13</v>
      </c>
      <c r="I28" s="788">
        <f>SUM(I29:I33)</f>
        <v>11</v>
      </c>
    </row>
    <row r="29" spans="1:9" ht="13.5" customHeight="1">
      <c r="A29" s="42"/>
      <c r="B29" s="392"/>
      <c r="C29" s="392"/>
      <c r="D29" s="436" t="s">
        <v>692</v>
      </c>
      <c r="E29" s="149">
        <v>17</v>
      </c>
      <c r="F29" s="149">
        <v>17</v>
      </c>
      <c r="G29" s="149">
        <v>15</v>
      </c>
      <c r="H29" s="149">
        <v>13</v>
      </c>
      <c r="I29" s="149">
        <v>11</v>
      </c>
    </row>
    <row r="30" spans="1:9" ht="13.5" customHeight="1">
      <c r="A30" s="42"/>
      <c r="B30" s="392"/>
      <c r="C30" s="392"/>
      <c r="D30" s="436" t="s">
        <v>693</v>
      </c>
      <c r="E30" s="291" t="s">
        <v>570</v>
      </c>
      <c r="F30" s="291" t="s">
        <v>570</v>
      </c>
      <c r="G30" s="291" t="s">
        <v>570</v>
      </c>
      <c r="H30" s="291" t="s">
        <v>570</v>
      </c>
      <c r="I30" s="291" t="s">
        <v>570</v>
      </c>
    </row>
    <row r="31" spans="1:9" ht="13.5" customHeight="1">
      <c r="A31" s="42"/>
      <c r="B31" s="392"/>
      <c r="C31" s="392"/>
      <c r="D31" s="436" t="s">
        <v>696</v>
      </c>
      <c r="E31" s="291" t="s">
        <v>570</v>
      </c>
      <c r="F31" s="291" t="s">
        <v>570</v>
      </c>
      <c r="G31" s="291" t="s">
        <v>570</v>
      </c>
      <c r="H31" s="291" t="s">
        <v>570</v>
      </c>
      <c r="I31" s="291" t="s">
        <v>570</v>
      </c>
    </row>
    <row r="32" spans="1:9" ht="13.5" customHeight="1">
      <c r="A32" s="42"/>
      <c r="B32" s="392"/>
      <c r="C32" s="392"/>
      <c r="D32" s="436" t="s">
        <v>694</v>
      </c>
      <c r="E32" s="291" t="s">
        <v>570</v>
      </c>
      <c r="F32" s="291" t="s">
        <v>570</v>
      </c>
      <c r="G32" s="291" t="s">
        <v>570</v>
      </c>
      <c r="H32" s="291" t="s">
        <v>570</v>
      </c>
      <c r="I32" s="291" t="s">
        <v>570</v>
      </c>
    </row>
    <row r="33" spans="1:9" ht="13.5" customHeight="1">
      <c r="A33" s="42"/>
      <c r="B33" s="392"/>
      <c r="C33" s="392"/>
      <c r="D33" s="436" t="s">
        <v>695</v>
      </c>
      <c r="E33" s="291" t="s">
        <v>570</v>
      </c>
      <c r="F33" s="291" t="s">
        <v>570</v>
      </c>
      <c r="G33" s="291" t="s">
        <v>570</v>
      </c>
      <c r="H33" s="291" t="s">
        <v>570</v>
      </c>
      <c r="I33" s="291" t="s">
        <v>570</v>
      </c>
    </row>
    <row r="34" spans="1:9" ht="13.5" customHeight="1">
      <c r="A34" s="119">
        <v>3</v>
      </c>
      <c r="B34" s="1516" t="s">
        <v>1467</v>
      </c>
      <c r="C34" s="1516"/>
      <c r="D34" s="1517"/>
      <c r="E34" s="291" t="s">
        <v>570</v>
      </c>
      <c r="F34" s="291" t="s">
        <v>570</v>
      </c>
      <c r="G34" s="291" t="s">
        <v>570</v>
      </c>
      <c r="H34" s="291" t="s">
        <v>570</v>
      </c>
      <c r="I34" s="291" t="s">
        <v>570</v>
      </c>
    </row>
    <row r="35" spans="1:9" ht="14.25" customHeight="1">
      <c r="A35" s="120"/>
      <c r="B35" s="1305" t="s">
        <v>300</v>
      </c>
      <c r="C35" s="1515"/>
      <c r="D35" s="1306"/>
      <c r="E35" s="164">
        <f>SUM(E7,E17)</f>
        <v>345</v>
      </c>
      <c r="F35" s="230">
        <f>SUM(F7,F17)</f>
        <v>360</v>
      </c>
      <c r="G35" s="230">
        <f>SUM(G7,G17)</f>
        <v>380</v>
      </c>
      <c r="H35" s="230">
        <f>SUM(H7,H17)</f>
        <v>370</v>
      </c>
      <c r="I35" s="230">
        <f>SUM(I7,I17)</f>
        <v>409</v>
      </c>
    </row>
    <row r="36" spans="1:9">
      <c r="A36" s="36"/>
      <c r="B36" s="36"/>
      <c r="C36" s="36"/>
      <c r="D36" s="36"/>
      <c r="E36" s="36"/>
      <c r="F36" s="65"/>
      <c r="H36" s="532"/>
      <c r="I36" s="915" t="str">
        <f>CONCATENATE("Source : Heads of all Technical and Professional Institutions, ",District!A1)</f>
        <v>Source : Heads of all Technical and Professional Institutions, Jalpaiguri</v>
      </c>
    </row>
    <row r="37" spans="1:9">
      <c r="A37" s="36"/>
      <c r="B37" s="36"/>
      <c r="C37" s="36"/>
      <c r="D37" s="36"/>
      <c r="E37" s="36"/>
      <c r="F37" s="66"/>
      <c r="G37" s="254"/>
      <c r="H37" s="254"/>
      <c r="I37" s="254"/>
    </row>
    <row r="38" spans="1:9">
      <c r="A38" s="36"/>
      <c r="B38" s="36"/>
      <c r="C38" s="36"/>
      <c r="D38" s="36"/>
      <c r="E38" s="36"/>
      <c r="F38" s="36"/>
      <c r="G38" s="36"/>
      <c r="H38" s="36"/>
      <c r="I38" s="36"/>
    </row>
    <row r="39" spans="1:9">
      <c r="A39" s="36"/>
      <c r="B39" s="36"/>
      <c r="C39" s="36"/>
      <c r="D39" s="36"/>
      <c r="E39" s="36"/>
      <c r="F39" s="36"/>
      <c r="G39" s="36"/>
      <c r="H39" s="36"/>
      <c r="I39" s="36"/>
    </row>
    <row r="40" spans="1:9">
      <c r="A40" s="36"/>
      <c r="B40" s="36"/>
      <c r="C40" s="36"/>
      <c r="D40" s="36"/>
      <c r="E40" s="36"/>
      <c r="F40" s="36"/>
      <c r="G40" s="36"/>
      <c r="H40" s="36"/>
      <c r="I40" s="36"/>
    </row>
    <row r="41" spans="1:9">
      <c r="A41" s="36"/>
      <c r="B41" s="36"/>
      <c r="C41" s="36"/>
      <c r="D41" s="36"/>
      <c r="E41" s="36"/>
      <c r="F41" s="36"/>
      <c r="G41" s="36"/>
      <c r="H41" s="36"/>
      <c r="I41" s="36"/>
    </row>
    <row r="42" spans="1:9">
      <c r="A42" s="36"/>
      <c r="B42" s="36"/>
      <c r="C42" s="36"/>
      <c r="D42" s="36"/>
      <c r="E42" s="36"/>
      <c r="F42" s="36"/>
      <c r="G42" s="36"/>
      <c r="H42" s="36"/>
      <c r="I42" s="36"/>
    </row>
    <row r="43" spans="1:9">
      <c r="A43" s="36"/>
      <c r="B43" s="36"/>
      <c r="C43" s="36"/>
      <c r="D43" s="36"/>
      <c r="E43" s="36"/>
      <c r="F43" s="36"/>
      <c r="G43" s="36"/>
      <c r="H43" s="36"/>
      <c r="I43" s="36"/>
    </row>
    <row r="44" spans="1:9">
      <c r="A44" s="36"/>
      <c r="B44" s="36"/>
      <c r="C44" s="36"/>
      <c r="D44" s="36"/>
      <c r="E44" s="36"/>
      <c r="F44" s="36"/>
      <c r="G44" s="36"/>
      <c r="H44" s="36"/>
      <c r="I44" s="36"/>
    </row>
    <row r="45" spans="1:9">
      <c r="A45" s="36"/>
      <c r="B45" s="36"/>
      <c r="C45" s="36"/>
      <c r="D45" s="36"/>
      <c r="E45" s="36"/>
      <c r="F45" s="36"/>
      <c r="G45" s="36"/>
      <c r="H45" s="36"/>
      <c r="I45" s="36"/>
    </row>
  </sheetData>
  <mergeCells count="10">
    <mergeCell ref="B35:D35"/>
    <mergeCell ref="B17:D17"/>
    <mergeCell ref="B34:D34"/>
    <mergeCell ref="A1:I1"/>
    <mergeCell ref="A2:I2"/>
    <mergeCell ref="A6:D6"/>
    <mergeCell ref="B7:D7"/>
    <mergeCell ref="A4:D5"/>
    <mergeCell ref="E4:I4"/>
    <mergeCell ref="C16:D16"/>
  </mergeCells>
  <phoneticPr fontId="0" type="noConversion"/>
  <printOptions horizontalCentered="1"/>
  <pageMargins left="0.25" right="0.1" top="0.68" bottom="0.1" header="0.5" footer="0.1"/>
  <pageSetup paperSize="9" orientation="landscape" blackAndWhite="1" r:id="rId1"/>
  <headerFooter alignWithMargins="0"/>
</worksheet>
</file>

<file path=xl/worksheets/sheet34.xml><?xml version="1.0" encoding="utf-8"?>
<worksheet xmlns="http://schemas.openxmlformats.org/spreadsheetml/2006/main" xmlns:r="http://schemas.openxmlformats.org/officeDocument/2006/relationships">
  <sheetPr codeName="Sheet34"/>
  <dimension ref="A1:J28"/>
  <sheetViews>
    <sheetView workbookViewId="0">
      <selection activeCell="G16" sqref="G16"/>
    </sheetView>
  </sheetViews>
  <sheetFormatPr defaultRowHeight="12.75"/>
  <cols>
    <col min="1" max="1" width="3.42578125" customWidth="1"/>
    <col min="4" max="4" width="29" customWidth="1"/>
    <col min="5" max="8" width="14.28515625" customWidth="1"/>
    <col min="9" max="9" width="15.140625" customWidth="1"/>
    <col min="10" max="10" width="8.5703125" customWidth="1"/>
  </cols>
  <sheetData>
    <row r="1" spans="1:9" ht="15.75" customHeight="1">
      <c r="A1" s="1361" t="s">
        <v>420</v>
      </c>
      <c r="B1" s="1361"/>
      <c r="C1" s="1361"/>
      <c r="D1" s="1361"/>
      <c r="E1" s="1361"/>
      <c r="F1" s="1361"/>
      <c r="G1" s="1361"/>
      <c r="H1" s="1361"/>
      <c r="I1" s="1361"/>
    </row>
    <row r="2" spans="1:9" ht="34.5" customHeight="1">
      <c r="A2" s="1494" t="str">
        <f>CONCATENATE("Teachers in different type of Special and Non-formal Educational Institutions 
in the district of ",District!A1)</f>
        <v>Teachers in different type of Special and Non-formal Educational Institutions 
in the district of Jalpaiguri</v>
      </c>
      <c r="B2" s="1494"/>
      <c r="C2" s="1494"/>
      <c r="D2" s="1494"/>
      <c r="E2" s="1494"/>
      <c r="F2" s="1494"/>
      <c r="G2" s="1494"/>
      <c r="H2" s="1494"/>
      <c r="I2" s="1494"/>
    </row>
    <row r="3" spans="1:9" ht="12" customHeight="1">
      <c r="E3" s="601"/>
      <c r="I3" s="1056" t="s">
        <v>312</v>
      </c>
    </row>
    <row r="4" spans="1:9" ht="15" customHeight="1">
      <c r="A4" s="1293" t="s">
        <v>882</v>
      </c>
      <c r="B4" s="1502"/>
      <c r="C4" s="1502"/>
      <c r="D4" s="1294"/>
      <c r="E4" s="1445" t="s">
        <v>98</v>
      </c>
      <c r="F4" s="1444"/>
      <c r="G4" s="1444"/>
      <c r="H4" s="1444"/>
      <c r="I4" s="1446"/>
    </row>
    <row r="5" spans="1:9" ht="15" customHeight="1">
      <c r="A5" s="1503"/>
      <c r="B5" s="1504"/>
      <c r="C5" s="1504"/>
      <c r="D5" s="1505"/>
      <c r="E5" s="172" t="s">
        <v>1110</v>
      </c>
      <c r="F5" s="172" t="s">
        <v>1111</v>
      </c>
      <c r="G5" s="172" t="s">
        <v>641</v>
      </c>
      <c r="H5" s="172" t="s">
        <v>909</v>
      </c>
      <c r="I5" s="172" t="s">
        <v>895</v>
      </c>
    </row>
    <row r="6" spans="1:9" ht="15" customHeight="1">
      <c r="A6" s="1385" t="s">
        <v>278</v>
      </c>
      <c r="B6" s="1424"/>
      <c r="C6" s="1424"/>
      <c r="D6" s="1386"/>
      <c r="E6" s="57" t="s">
        <v>279</v>
      </c>
      <c r="F6" s="87" t="s">
        <v>280</v>
      </c>
      <c r="G6" s="57" t="s">
        <v>281</v>
      </c>
      <c r="H6" s="58" t="s">
        <v>282</v>
      </c>
      <c r="I6" s="58" t="s">
        <v>283</v>
      </c>
    </row>
    <row r="7" spans="1:9" ht="21" customHeight="1">
      <c r="A7" s="256">
        <v>1</v>
      </c>
      <c r="B7" s="1573" t="s">
        <v>697</v>
      </c>
      <c r="C7" s="1573"/>
      <c r="D7" s="1574"/>
      <c r="E7" s="149">
        <v>3374</v>
      </c>
      <c r="F7" s="149">
        <v>3369</v>
      </c>
      <c r="G7" s="149">
        <v>3372</v>
      </c>
      <c r="H7" s="149">
        <v>3367</v>
      </c>
      <c r="I7" s="149">
        <v>3366</v>
      </c>
    </row>
    <row r="8" spans="1:9" s="36" customFormat="1" ht="21" customHeight="1">
      <c r="A8" s="310">
        <v>2</v>
      </c>
      <c r="B8" s="1527" t="s">
        <v>258</v>
      </c>
      <c r="C8" s="1527"/>
      <c r="D8" s="1528"/>
      <c r="E8" s="149">
        <v>567</v>
      </c>
      <c r="F8" s="149">
        <v>647</v>
      </c>
      <c r="G8" s="149">
        <v>542</v>
      </c>
      <c r="H8" s="149">
        <v>530</v>
      </c>
      <c r="I8" s="149">
        <v>538</v>
      </c>
    </row>
    <row r="9" spans="1:9" ht="21" customHeight="1">
      <c r="A9" s="310">
        <v>3</v>
      </c>
      <c r="B9" s="1555" t="s">
        <v>698</v>
      </c>
      <c r="C9" s="1555"/>
      <c r="D9" s="1556"/>
      <c r="E9" s="149" t="s">
        <v>570</v>
      </c>
      <c r="F9" s="149" t="s">
        <v>570</v>
      </c>
      <c r="G9" s="149" t="s">
        <v>570</v>
      </c>
      <c r="H9" s="149" t="s">
        <v>570</v>
      </c>
      <c r="I9" s="149" t="s">
        <v>570</v>
      </c>
    </row>
    <row r="10" spans="1:9" ht="21" customHeight="1">
      <c r="A10" s="310">
        <v>4</v>
      </c>
      <c r="B10" s="1555" t="s">
        <v>797</v>
      </c>
      <c r="C10" s="1555"/>
      <c r="D10" s="1556"/>
      <c r="E10" s="149">
        <v>87</v>
      </c>
      <c r="F10" s="149">
        <v>95</v>
      </c>
      <c r="G10" s="149">
        <v>91</v>
      </c>
      <c r="H10" s="149">
        <v>91</v>
      </c>
      <c r="I10" s="149">
        <v>96</v>
      </c>
    </row>
    <row r="11" spans="1:9" ht="21" customHeight="1">
      <c r="A11" s="310">
        <v>5</v>
      </c>
      <c r="B11" s="1555" t="s">
        <v>699</v>
      </c>
      <c r="C11" s="1555"/>
      <c r="D11" s="1556"/>
      <c r="E11" s="149">
        <v>1</v>
      </c>
      <c r="F11" s="149">
        <v>1</v>
      </c>
      <c r="G11" s="149">
        <v>1</v>
      </c>
      <c r="H11" s="149">
        <v>1</v>
      </c>
      <c r="I11" s="149">
        <v>1</v>
      </c>
    </row>
    <row r="12" spans="1:9" ht="21" customHeight="1">
      <c r="A12" s="310">
        <v>6</v>
      </c>
      <c r="B12" s="1555" t="s">
        <v>700</v>
      </c>
      <c r="C12" s="1555"/>
      <c r="D12" s="1556"/>
      <c r="E12" s="149">
        <v>12</v>
      </c>
      <c r="F12" s="149">
        <v>12</v>
      </c>
      <c r="G12" s="149">
        <v>12</v>
      </c>
      <c r="H12" s="149">
        <v>12</v>
      </c>
      <c r="I12" s="149">
        <v>11</v>
      </c>
    </row>
    <row r="13" spans="1:9" ht="25.5" customHeight="1">
      <c r="A13" s="609">
        <v>7</v>
      </c>
      <c r="B13" s="1559" t="s">
        <v>798</v>
      </c>
      <c r="C13" s="1559"/>
      <c r="D13" s="1560"/>
      <c r="E13" s="149">
        <v>130</v>
      </c>
      <c r="F13" s="149">
        <v>124</v>
      </c>
      <c r="G13" s="149">
        <v>123</v>
      </c>
      <c r="H13" s="149">
        <v>122</v>
      </c>
      <c r="I13" s="149">
        <v>125</v>
      </c>
    </row>
    <row r="14" spans="1:9" ht="21" customHeight="1">
      <c r="A14" s="310">
        <v>8</v>
      </c>
      <c r="B14" s="1555" t="s">
        <v>709</v>
      </c>
      <c r="C14" s="1555"/>
      <c r="D14" s="1556"/>
      <c r="E14" s="149" t="s">
        <v>570</v>
      </c>
      <c r="F14" s="149" t="s">
        <v>570</v>
      </c>
      <c r="G14" s="149" t="s">
        <v>570</v>
      </c>
      <c r="H14" s="149" t="s">
        <v>570</v>
      </c>
      <c r="I14" s="149" t="s">
        <v>570</v>
      </c>
    </row>
    <row r="15" spans="1:9" ht="21" customHeight="1">
      <c r="A15" s="310">
        <v>9</v>
      </c>
      <c r="B15" s="1555" t="s">
        <v>710</v>
      </c>
      <c r="C15" s="1555"/>
      <c r="D15" s="1556"/>
      <c r="E15" s="149">
        <v>6289</v>
      </c>
      <c r="F15" s="149">
        <v>6289</v>
      </c>
      <c r="G15" s="149">
        <v>6379</v>
      </c>
      <c r="H15" s="149">
        <v>6389</v>
      </c>
      <c r="I15" s="149">
        <v>6398</v>
      </c>
    </row>
    <row r="16" spans="1:9" ht="21" customHeight="1">
      <c r="A16" s="310">
        <v>10</v>
      </c>
      <c r="B16" s="1555" t="s">
        <v>1511</v>
      </c>
      <c r="C16" s="1555"/>
      <c r="D16" s="1556"/>
      <c r="E16" s="149">
        <v>6</v>
      </c>
      <c r="F16" s="149">
        <v>6</v>
      </c>
      <c r="G16" s="149">
        <v>6</v>
      </c>
      <c r="H16" s="149">
        <v>6</v>
      </c>
      <c r="I16" s="149">
        <v>6</v>
      </c>
    </row>
    <row r="17" spans="1:10" ht="39" customHeight="1">
      <c r="A17" s="609">
        <v>11</v>
      </c>
      <c r="B17" s="1559" t="s">
        <v>806</v>
      </c>
      <c r="C17" s="1559"/>
      <c r="D17" s="1560"/>
      <c r="E17" s="149">
        <v>4</v>
      </c>
      <c r="F17" s="149">
        <v>3</v>
      </c>
      <c r="G17" s="149">
        <v>3</v>
      </c>
      <c r="H17" s="149">
        <v>3</v>
      </c>
      <c r="I17" s="149">
        <v>3</v>
      </c>
    </row>
    <row r="18" spans="1:10" ht="21" customHeight="1">
      <c r="A18" s="319">
        <v>12</v>
      </c>
      <c r="B18" s="1531" t="s">
        <v>248</v>
      </c>
      <c r="C18" s="1531"/>
      <c r="D18" s="1532"/>
      <c r="E18" s="149">
        <v>40</v>
      </c>
      <c r="F18" s="149">
        <v>40</v>
      </c>
      <c r="G18" s="149">
        <v>48</v>
      </c>
      <c r="H18" s="149">
        <v>48</v>
      </c>
      <c r="I18" s="149">
        <v>47</v>
      </c>
    </row>
    <row r="19" spans="1:10" ht="18" customHeight="1">
      <c r="A19" s="1305" t="s">
        <v>300</v>
      </c>
      <c r="B19" s="1515"/>
      <c r="C19" s="1515"/>
      <c r="D19" s="1306"/>
      <c r="E19" s="166">
        <f>SUM(E7:E18)</f>
        <v>10510</v>
      </c>
      <c r="F19" s="166">
        <f>SUM(F7:F18)</f>
        <v>10586</v>
      </c>
      <c r="G19" s="166">
        <f>SUM(G7:G18)</f>
        <v>10577</v>
      </c>
      <c r="H19" s="166">
        <f>SUM(H7:H18)</f>
        <v>10569</v>
      </c>
      <c r="I19" s="166">
        <f>SUM(I7:I18)</f>
        <v>10591</v>
      </c>
    </row>
    <row r="20" spans="1:10">
      <c r="A20" s="878"/>
      <c r="B20" s="55"/>
      <c r="C20" s="55"/>
      <c r="F20" s="903" t="s">
        <v>80</v>
      </c>
      <c r="G20" s="499" t="s">
        <v>1226</v>
      </c>
      <c r="H20" s="55"/>
      <c r="I20" s="55"/>
      <c r="J20" s="55"/>
    </row>
    <row r="21" spans="1:10">
      <c r="F21" s="903" t="s">
        <v>81</v>
      </c>
      <c r="G21" s="499" t="s">
        <v>1227</v>
      </c>
      <c r="H21" s="55"/>
      <c r="I21" s="55"/>
      <c r="J21" s="55"/>
    </row>
    <row r="22" spans="1:10">
      <c r="F22" s="903" t="s">
        <v>82</v>
      </c>
      <c r="G22" s="499" t="s">
        <v>1228</v>
      </c>
      <c r="H22" s="55"/>
      <c r="I22" s="55"/>
      <c r="J22" s="55"/>
    </row>
    <row r="23" spans="1:10">
      <c r="F23" s="903" t="s">
        <v>83</v>
      </c>
      <c r="G23" s="499" t="s">
        <v>1229</v>
      </c>
      <c r="H23" s="55"/>
      <c r="I23" s="55"/>
      <c r="J23" s="55"/>
    </row>
    <row r="24" spans="1:10">
      <c r="F24" s="903" t="s">
        <v>1114</v>
      </c>
      <c r="G24" s="499" t="s">
        <v>1016</v>
      </c>
      <c r="H24" s="55"/>
      <c r="I24" s="55"/>
      <c r="J24" s="55"/>
    </row>
    <row r="25" spans="1:10">
      <c r="F25" s="903" t="s">
        <v>1017</v>
      </c>
      <c r="G25" s="499" t="s">
        <v>1018</v>
      </c>
      <c r="H25" s="67"/>
      <c r="I25" s="67"/>
      <c r="J25" s="67"/>
    </row>
    <row r="26" spans="1:10">
      <c r="F26" s="903" t="s">
        <v>1019</v>
      </c>
      <c r="G26" s="499" t="s">
        <v>1020</v>
      </c>
      <c r="H26" s="55"/>
      <c r="I26" s="55"/>
      <c r="J26" s="63"/>
    </row>
    <row r="27" spans="1:10">
      <c r="F27" s="903" t="s">
        <v>1021</v>
      </c>
      <c r="G27" s="499" t="s">
        <v>533</v>
      </c>
      <c r="H27" s="55"/>
      <c r="I27" s="55"/>
      <c r="J27" s="55"/>
    </row>
    <row r="28" spans="1:10">
      <c r="F28" s="903" t="s">
        <v>1022</v>
      </c>
      <c r="G28" s="908" t="s">
        <v>1023</v>
      </c>
      <c r="H28" s="55"/>
      <c r="I28" s="55"/>
      <c r="J28" s="55"/>
    </row>
  </sheetData>
  <mergeCells count="18">
    <mergeCell ref="B15:D15"/>
    <mergeCell ref="B16:D16"/>
    <mergeCell ref="A19:D19"/>
    <mergeCell ref="E4:I4"/>
    <mergeCell ref="B8:D8"/>
    <mergeCell ref="B10:D10"/>
    <mergeCell ref="B17:D17"/>
    <mergeCell ref="B11:D11"/>
    <mergeCell ref="B12:D12"/>
    <mergeCell ref="B18:D18"/>
    <mergeCell ref="B13:D13"/>
    <mergeCell ref="B14:D14"/>
    <mergeCell ref="A1:I1"/>
    <mergeCell ref="B9:D9"/>
    <mergeCell ref="A2:I2"/>
    <mergeCell ref="A6:D6"/>
    <mergeCell ref="B7:D7"/>
    <mergeCell ref="A4:D5"/>
  </mergeCells>
  <phoneticPr fontId="0" type="noConversion"/>
  <printOptions horizontalCentered="1"/>
  <pageMargins left="0.1" right="0.1" top="0.53" bottom="0.1" header="0.5" footer="0.1"/>
  <pageSetup paperSize="9" orientation="landscape" blackAndWhite="1" r:id="rId1"/>
  <headerFooter alignWithMargins="0"/>
</worksheet>
</file>

<file path=xl/worksheets/sheet35.xml><?xml version="1.0" encoding="utf-8"?>
<worksheet xmlns="http://schemas.openxmlformats.org/spreadsheetml/2006/main" xmlns:r="http://schemas.openxmlformats.org/officeDocument/2006/relationships">
  <sheetPr codeName="Sheet20"/>
  <dimension ref="A1:Z37"/>
  <sheetViews>
    <sheetView topLeftCell="A16" workbookViewId="0">
      <selection activeCell="G16" sqref="G16"/>
    </sheetView>
  </sheetViews>
  <sheetFormatPr defaultRowHeight="12.75"/>
  <cols>
    <col min="1" max="1" width="22" style="12" customWidth="1"/>
    <col min="2" max="13" width="10" style="12" customWidth="1"/>
    <col min="14" max="14" width="22.42578125" style="12" customWidth="1"/>
    <col min="15" max="23" width="10.7109375" style="12" customWidth="1"/>
    <col min="24" max="16384" width="9.140625" style="12"/>
  </cols>
  <sheetData>
    <row r="1" spans="1:26" ht="12.75" customHeight="1">
      <c r="A1" s="1524" t="s">
        <v>1024</v>
      </c>
      <c r="B1" s="1524"/>
      <c r="C1" s="1524"/>
      <c r="D1" s="1524"/>
      <c r="E1" s="1524"/>
      <c r="F1" s="1524"/>
      <c r="G1" s="1524"/>
      <c r="H1" s="1524"/>
      <c r="I1" s="1524"/>
      <c r="J1" s="1524"/>
      <c r="K1" s="1524"/>
      <c r="L1" s="1524"/>
      <c r="M1" s="1524"/>
      <c r="X1" s="344"/>
      <c r="Y1" s="344"/>
      <c r="Z1" s="344"/>
    </row>
    <row r="2" spans="1:26" ht="17.25" customHeight="1">
      <c r="A2" s="1494" t="str">
        <f>"Institutions, Students &amp; Teachers by Block, Municipal Corporation &amp; Municipality in the district of Jalpaiguri for the year " &amp; District!C2</f>
        <v>Institutions, Students &amp; Teachers by Block, Municipal Corporation &amp; Municipality in the district of Jalpaiguri for the year 2013-14</v>
      </c>
      <c r="B2" s="1494"/>
      <c r="C2" s="1494"/>
      <c r="D2" s="1494"/>
      <c r="E2" s="1494"/>
      <c r="F2" s="1494"/>
      <c r="G2" s="1494"/>
      <c r="H2" s="1494"/>
      <c r="I2" s="1494"/>
      <c r="J2" s="1494"/>
      <c r="K2" s="1494"/>
      <c r="L2" s="1494"/>
      <c r="M2" s="1494"/>
      <c r="N2" s="1524" t="s">
        <v>1038</v>
      </c>
      <c r="O2" s="1524"/>
      <c r="P2" s="1524"/>
      <c r="Q2" s="1524"/>
      <c r="R2" s="1524"/>
      <c r="S2" s="1524"/>
      <c r="T2" s="1524"/>
      <c r="U2" s="1524"/>
      <c r="V2" s="1524"/>
      <c r="W2" s="1524"/>
    </row>
    <row r="3" spans="1:26" ht="12" customHeight="1">
      <c r="M3" s="1058" t="s">
        <v>312</v>
      </c>
      <c r="N3" s="152"/>
      <c r="O3" s="152"/>
      <c r="W3" s="1058" t="s">
        <v>312</v>
      </c>
    </row>
    <row r="4" spans="1:26" ht="30" customHeight="1">
      <c r="A4" s="1299" t="s">
        <v>848</v>
      </c>
      <c r="B4" s="1578" t="s">
        <v>807</v>
      </c>
      <c r="C4" s="1489"/>
      <c r="D4" s="1490"/>
      <c r="E4" s="1578" t="s">
        <v>808</v>
      </c>
      <c r="F4" s="1489"/>
      <c r="G4" s="1490"/>
      <c r="H4" s="1578" t="s">
        <v>809</v>
      </c>
      <c r="I4" s="1489"/>
      <c r="J4" s="1490"/>
      <c r="K4" s="1575" t="s">
        <v>245</v>
      </c>
      <c r="L4" s="1576"/>
      <c r="M4" s="1577"/>
      <c r="N4" s="1299" t="s">
        <v>848</v>
      </c>
      <c r="O4" s="1575" t="s">
        <v>891</v>
      </c>
      <c r="P4" s="1576"/>
      <c r="Q4" s="1577"/>
      <c r="R4" s="1575" t="s">
        <v>1232</v>
      </c>
      <c r="S4" s="1576"/>
      <c r="T4" s="1577"/>
      <c r="U4" s="1575" t="s">
        <v>824</v>
      </c>
      <c r="V4" s="1576"/>
      <c r="W4" s="1577"/>
    </row>
    <row r="5" spans="1:26" ht="15" customHeight="1">
      <c r="A5" s="1302"/>
      <c r="B5" s="362" t="s">
        <v>888</v>
      </c>
      <c r="C5" s="636" t="s">
        <v>889</v>
      </c>
      <c r="D5" s="637" t="s">
        <v>890</v>
      </c>
      <c r="E5" s="362" t="s">
        <v>888</v>
      </c>
      <c r="F5" s="636" t="s">
        <v>889</v>
      </c>
      <c r="G5" s="637" t="s">
        <v>890</v>
      </c>
      <c r="H5" s="362" t="s">
        <v>888</v>
      </c>
      <c r="I5" s="636" t="s">
        <v>889</v>
      </c>
      <c r="J5" s="637" t="s">
        <v>890</v>
      </c>
      <c r="K5" s="362" t="s">
        <v>888</v>
      </c>
      <c r="L5" s="636" t="s">
        <v>889</v>
      </c>
      <c r="M5" s="637" t="s">
        <v>890</v>
      </c>
      <c r="N5" s="1302"/>
      <c r="O5" s="362" t="s">
        <v>888</v>
      </c>
      <c r="P5" s="636" t="s">
        <v>889</v>
      </c>
      <c r="Q5" s="637" t="s">
        <v>890</v>
      </c>
      <c r="R5" s="362" t="s">
        <v>888</v>
      </c>
      <c r="S5" s="636" t="s">
        <v>889</v>
      </c>
      <c r="T5" s="637" t="s">
        <v>890</v>
      </c>
      <c r="U5" s="362" t="s">
        <v>888</v>
      </c>
      <c r="V5" s="636" t="s">
        <v>889</v>
      </c>
      <c r="W5" s="637" t="s">
        <v>890</v>
      </c>
    </row>
    <row r="6" spans="1:26" ht="15" customHeight="1">
      <c r="A6" s="162" t="s">
        <v>278</v>
      </c>
      <c r="B6" s="735" t="s">
        <v>279</v>
      </c>
      <c r="C6" s="734" t="s">
        <v>280</v>
      </c>
      <c r="D6" s="736" t="s">
        <v>281</v>
      </c>
      <c r="E6" s="735" t="s">
        <v>282</v>
      </c>
      <c r="F6" s="734" t="s">
        <v>283</v>
      </c>
      <c r="G6" s="736" t="s">
        <v>284</v>
      </c>
      <c r="H6" s="735" t="s">
        <v>301</v>
      </c>
      <c r="I6" s="96" t="s">
        <v>302</v>
      </c>
      <c r="J6" s="736" t="s">
        <v>303</v>
      </c>
      <c r="K6" s="735" t="s">
        <v>304</v>
      </c>
      <c r="L6" s="734" t="s">
        <v>344</v>
      </c>
      <c r="M6" s="736" t="s">
        <v>345</v>
      </c>
      <c r="N6" s="350" t="s">
        <v>278</v>
      </c>
      <c r="O6" s="96" t="s">
        <v>346</v>
      </c>
      <c r="P6" s="96" t="s">
        <v>347</v>
      </c>
      <c r="Q6" s="97" t="s">
        <v>348</v>
      </c>
      <c r="R6" s="162" t="s">
        <v>349</v>
      </c>
      <c r="S6" s="96" t="s">
        <v>351</v>
      </c>
      <c r="T6" s="97" t="s">
        <v>350</v>
      </c>
      <c r="U6" s="162" t="s">
        <v>892</v>
      </c>
      <c r="V6" s="96" t="s">
        <v>893</v>
      </c>
      <c r="W6" s="97" t="s">
        <v>894</v>
      </c>
    </row>
    <row r="7" spans="1:26" ht="18" customHeight="1">
      <c r="A7" s="259" t="s">
        <v>11</v>
      </c>
      <c r="B7" s="379">
        <f>SUM(B8:B14)</f>
        <v>911</v>
      </c>
      <c r="C7" s="615">
        <f t="shared" ref="C7:M7" si="0">SUM(C8:C14)</f>
        <v>115080</v>
      </c>
      <c r="D7" s="615">
        <f t="shared" si="0"/>
        <v>4015</v>
      </c>
      <c r="E7" s="379">
        <f t="shared" si="0"/>
        <v>38</v>
      </c>
      <c r="F7" s="615">
        <f t="shared" si="0"/>
        <v>6912</v>
      </c>
      <c r="G7" s="615">
        <f t="shared" si="0"/>
        <v>156</v>
      </c>
      <c r="H7" s="379">
        <f t="shared" si="0"/>
        <v>51</v>
      </c>
      <c r="I7" s="223">
        <f t="shared" si="0"/>
        <v>51110</v>
      </c>
      <c r="J7" s="615">
        <f t="shared" si="0"/>
        <v>1002</v>
      </c>
      <c r="K7" s="379">
        <f t="shared" si="0"/>
        <v>116</v>
      </c>
      <c r="L7" s="615">
        <f t="shared" si="0"/>
        <v>161827</v>
      </c>
      <c r="M7" s="564">
        <f t="shared" si="0"/>
        <v>2935</v>
      </c>
      <c r="N7" s="266" t="s">
        <v>11</v>
      </c>
      <c r="O7" s="223">
        <f t="shared" ref="O7:W7" si="1">SUM(O8:O14)</f>
        <v>8</v>
      </c>
      <c r="P7" s="223">
        <f t="shared" si="1"/>
        <v>19460</v>
      </c>
      <c r="Q7" s="223">
        <f t="shared" si="1"/>
        <v>210</v>
      </c>
      <c r="R7" s="379">
        <f t="shared" si="1"/>
        <v>34</v>
      </c>
      <c r="S7" s="223">
        <f t="shared" si="1"/>
        <v>13075</v>
      </c>
      <c r="T7" s="223">
        <f t="shared" si="1"/>
        <v>321</v>
      </c>
      <c r="U7" s="379">
        <f t="shared" si="1"/>
        <v>2752</v>
      </c>
      <c r="V7" s="223">
        <f t="shared" si="1"/>
        <v>189077</v>
      </c>
      <c r="W7" s="564">
        <f t="shared" si="1"/>
        <v>3764</v>
      </c>
    </row>
    <row r="8" spans="1:26" ht="18" customHeight="1">
      <c r="A8" s="260" t="s">
        <v>561</v>
      </c>
      <c r="B8" s="232">
        <v>163</v>
      </c>
      <c r="C8" s="225">
        <v>23157</v>
      </c>
      <c r="D8" s="216">
        <v>774</v>
      </c>
      <c r="E8" s="232">
        <v>9</v>
      </c>
      <c r="F8" s="225">
        <v>1499</v>
      </c>
      <c r="G8" s="216">
        <v>44</v>
      </c>
      <c r="H8" s="232">
        <v>10</v>
      </c>
      <c r="I8" s="225">
        <v>12102</v>
      </c>
      <c r="J8" s="216">
        <v>204</v>
      </c>
      <c r="K8" s="232">
        <v>14</v>
      </c>
      <c r="L8" s="225">
        <v>19456</v>
      </c>
      <c r="M8" s="216">
        <v>335</v>
      </c>
      <c r="N8" s="351" t="s">
        <v>561</v>
      </c>
      <c r="O8" s="225">
        <v>2</v>
      </c>
      <c r="P8" s="225">
        <v>2545</v>
      </c>
      <c r="Q8" s="216">
        <v>42</v>
      </c>
      <c r="R8" s="232">
        <v>2</v>
      </c>
      <c r="S8" s="225">
        <v>167</v>
      </c>
      <c r="T8" s="216">
        <v>9</v>
      </c>
      <c r="U8" s="232">
        <v>545</v>
      </c>
      <c r="V8" s="225">
        <v>45733</v>
      </c>
      <c r="W8" s="216">
        <v>695</v>
      </c>
    </row>
    <row r="9" spans="1:26" ht="18" customHeight="1">
      <c r="A9" s="260" t="s">
        <v>548</v>
      </c>
      <c r="B9" s="232">
        <v>238</v>
      </c>
      <c r="C9" s="225">
        <v>23546</v>
      </c>
      <c r="D9" s="216">
        <v>948</v>
      </c>
      <c r="E9" s="232">
        <v>6</v>
      </c>
      <c r="F9" s="225">
        <v>1510</v>
      </c>
      <c r="G9" s="216">
        <v>21</v>
      </c>
      <c r="H9" s="232">
        <v>11</v>
      </c>
      <c r="I9" s="225">
        <v>7799</v>
      </c>
      <c r="J9" s="216">
        <v>176</v>
      </c>
      <c r="K9" s="232">
        <v>25</v>
      </c>
      <c r="L9" s="225">
        <v>31156</v>
      </c>
      <c r="M9" s="216">
        <v>575</v>
      </c>
      <c r="N9" s="351" t="s">
        <v>548</v>
      </c>
      <c r="O9" s="587" t="s">
        <v>570</v>
      </c>
      <c r="P9" s="587" t="s">
        <v>570</v>
      </c>
      <c r="Q9" s="587" t="s">
        <v>570</v>
      </c>
      <c r="R9" s="232">
        <v>4</v>
      </c>
      <c r="S9" s="225">
        <v>2647</v>
      </c>
      <c r="T9" s="216">
        <v>114</v>
      </c>
      <c r="U9" s="232">
        <v>602</v>
      </c>
      <c r="V9" s="225">
        <v>36849</v>
      </c>
      <c r="W9" s="216">
        <v>779</v>
      </c>
      <c r="Z9" s="1171"/>
    </row>
    <row r="10" spans="1:26" ht="18" customHeight="1">
      <c r="A10" s="260" t="s">
        <v>562</v>
      </c>
      <c r="B10" s="232">
        <v>69</v>
      </c>
      <c r="C10" s="225">
        <v>7546</v>
      </c>
      <c r="D10" s="216">
        <v>243</v>
      </c>
      <c r="E10" s="232">
        <v>2</v>
      </c>
      <c r="F10" s="225">
        <v>457</v>
      </c>
      <c r="G10" s="216">
        <v>25</v>
      </c>
      <c r="H10" s="232">
        <v>3</v>
      </c>
      <c r="I10" s="225">
        <v>2740</v>
      </c>
      <c r="J10" s="216">
        <v>40</v>
      </c>
      <c r="K10" s="232">
        <v>17</v>
      </c>
      <c r="L10" s="225">
        <v>20994</v>
      </c>
      <c r="M10" s="216">
        <v>439</v>
      </c>
      <c r="N10" s="351" t="s">
        <v>562</v>
      </c>
      <c r="O10" s="225">
        <v>3</v>
      </c>
      <c r="P10" s="225">
        <v>7001</v>
      </c>
      <c r="Q10" s="216">
        <v>116</v>
      </c>
      <c r="R10" s="232">
        <v>17</v>
      </c>
      <c r="S10" s="225">
        <v>7764</v>
      </c>
      <c r="T10" s="216">
        <v>122</v>
      </c>
      <c r="U10" s="232">
        <v>114</v>
      </c>
      <c r="V10" s="225">
        <v>8991</v>
      </c>
      <c r="W10" s="216">
        <v>254</v>
      </c>
      <c r="Z10" s="1171"/>
    </row>
    <row r="11" spans="1:26" ht="18" customHeight="1">
      <c r="A11" s="260" t="s">
        <v>549</v>
      </c>
      <c r="B11" s="232">
        <v>208</v>
      </c>
      <c r="C11" s="225">
        <v>23464</v>
      </c>
      <c r="D11" s="216">
        <v>934</v>
      </c>
      <c r="E11" s="232">
        <v>11</v>
      </c>
      <c r="F11" s="225">
        <v>1191</v>
      </c>
      <c r="G11" s="216">
        <v>31</v>
      </c>
      <c r="H11" s="232">
        <v>9</v>
      </c>
      <c r="I11" s="225">
        <v>8185</v>
      </c>
      <c r="J11" s="216">
        <v>142</v>
      </c>
      <c r="K11" s="232">
        <v>20</v>
      </c>
      <c r="L11" s="225">
        <v>33408</v>
      </c>
      <c r="M11" s="216">
        <v>487</v>
      </c>
      <c r="N11" s="351" t="s">
        <v>549</v>
      </c>
      <c r="O11" s="225">
        <v>1</v>
      </c>
      <c r="P11" s="225">
        <v>4782</v>
      </c>
      <c r="Q11" s="216">
        <v>17</v>
      </c>
      <c r="R11" s="232">
        <v>2</v>
      </c>
      <c r="S11" s="225">
        <v>988</v>
      </c>
      <c r="T11" s="216">
        <v>6</v>
      </c>
      <c r="U11" s="232">
        <v>551</v>
      </c>
      <c r="V11" s="225">
        <v>40176</v>
      </c>
      <c r="W11" s="216">
        <v>856</v>
      </c>
    </row>
    <row r="12" spans="1:26" ht="18" customHeight="1">
      <c r="A12" s="260" t="s">
        <v>550</v>
      </c>
      <c r="B12" s="232">
        <v>191</v>
      </c>
      <c r="C12" s="225">
        <v>28238</v>
      </c>
      <c r="D12" s="216">
        <v>890</v>
      </c>
      <c r="E12" s="232">
        <v>8</v>
      </c>
      <c r="F12" s="225">
        <v>2091</v>
      </c>
      <c r="G12" s="216">
        <v>29</v>
      </c>
      <c r="H12" s="232">
        <v>10</v>
      </c>
      <c r="I12" s="225">
        <v>10991</v>
      </c>
      <c r="J12" s="216">
        <v>204</v>
      </c>
      <c r="K12" s="232">
        <v>25</v>
      </c>
      <c r="L12" s="225">
        <v>34413</v>
      </c>
      <c r="M12" s="216">
        <v>630</v>
      </c>
      <c r="N12" s="351" t="s">
        <v>550</v>
      </c>
      <c r="O12" s="587" t="s">
        <v>570</v>
      </c>
      <c r="P12" s="587" t="s">
        <v>570</v>
      </c>
      <c r="Q12" s="587" t="s">
        <v>570</v>
      </c>
      <c r="R12" s="232">
        <v>1</v>
      </c>
      <c r="S12" s="225">
        <v>130</v>
      </c>
      <c r="T12" s="216">
        <v>3</v>
      </c>
      <c r="U12" s="232">
        <v>912</v>
      </c>
      <c r="V12" s="225">
        <v>55960</v>
      </c>
      <c r="W12" s="216">
        <v>1128</v>
      </c>
    </row>
    <row r="13" spans="1:26" ht="18" customHeight="1">
      <c r="A13" s="260" t="s">
        <v>563</v>
      </c>
      <c r="B13" s="232">
        <v>17</v>
      </c>
      <c r="C13" s="225">
        <v>2803</v>
      </c>
      <c r="D13" s="225">
        <v>71</v>
      </c>
      <c r="E13" s="232">
        <v>1</v>
      </c>
      <c r="F13" s="225">
        <v>81</v>
      </c>
      <c r="G13" s="216">
        <v>3</v>
      </c>
      <c r="H13" s="732" t="s">
        <v>570</v>
      </c>
      <c r="I13" s="587" t="s">
        <v>570</v>
      </c>
      <c r="J13" s="587" t="s">
        <v>570</v>
      </c>
      <c r="K13" s="232">
        <v>5</v>
      </c>
      <c r="L13" s="225">
        <v>7949</v>
      </c>
      <c r="M13" s="216">
        <v>148</v>
      </c>
      <c r="N13" s="351" t="s">
        <v>563</v>
      </c>
      <c r="O13" s="225">
        <v>2</v>
      </c>
      <c r="P13" s="225">
        <v>5132</v>
      </c>
      <c r="Q13" s="216">
        <v>35</v>
      </c>
      <c r="R13" s="232">
        <v>6</v>
      </c>
      <c r="S13" s="225">
        <v>847</v>
      </c>
      <c r="T13" s="216">
        <v>32</v>
      </c>
      <c r="U13" s="232">
        <v>28</v>
      </c>
      <c r="V13" s="225">
        <v>1368</v>
      </c>
      <c r="W13" s="216">
        <v>52</v>
      </c>
    </row>
    <row r="14" spans="1:26" ht="18" customHeight="1">
      <c r="A14" s="260" t="s">
        <v>765</v>
      </c>
      <c r="B14" s="232">
        <v>25</v>
      </c>
      <c r="C14" s="225">
        <v>6326</v>
      </c>
      <c r="D14" s="216">
        <v>155</v>
      </c>
      <c r="E14" s="232">
        <v>1</v>
      </c>
      <c r="F14" s="225">
        <v>83</v>
      </c>
      <c r="G14" s="225">
        <v>3</v>
      </c>
      <c r="H14" s="232">
        <v>8</v>
      </c>
      <c r="I14" s="225">
        <v>9293</v>
      </c>
      <c r="J14" s="225">
        <v>236</v>
      </c>
      <c r="K14" s="232">
        <v>10</v>
      </c>
      <c r="L14" s="225">
        <v>14451</v>
      </c>
      <c r="M14" s="216">
        <v>321</v>
      </c>
      <c r="N14" s="351" t="s">
        <v>765</v>
      </c>
      <c r="O14" s="587" t="s">
        <v>570</v>
      </c>
      <c r="P14" s="587" t="s">
        <v>570</v>
      </c>
      <c r="Q14" s="587" t="s">
        <v>570</v>
      </c>
      <c r="R14" s="232">
        <v>2</v>
      </c>
      <c r="S14" s="225">
        <v>532</v>
      </c>
      <c r="T14" s="216">
        <v>35</v>
      </c>
      <c r="U14" s="587" t="s">
        <v>570</v>
      </c>
      <c r="V14" s="587" t="s">
        <v>570</v>
      </c>
      <c r="W14" s="1027" t="s">
        <v>570</v>
      </c>
    </row>
    <row r="15" spans="1:26" ht="18" customHeight="1">
      <c r="A15" s="261" t="s">
        <v>15</v>
      </c>
      <c r="B15" s="239">
        <f t="shared" ref="B15:W15" si="2">SUM(B16:B19)</f>
        <v>291</v>
      </c>
      <c r="C15" s="223">
        <f t="shared" si="2"/>
        <v>40856</v>
      </c>
      <c r="D15" s="211">
        <f t="shared" si="2"/>
        <v>1284</v>
      </c>
      <c r="E15" s="239">
        <f t="shared" si="2"/>
        <v>28</v>
      </c>
      <c r="F15" s="223">
        <f t="shared" si="2"/>
        <v>4930</v>
      </c>
      <c r="G15" s="211">
        <f t="shared" si="2"/>
        <v>75</v>
      </c>
      <c r="H15" s="239">
        <f t="shared" si="2"/>
        <v>13</v>
      </c>
      <c r="I15" s="223">
        <f t="shared" si="2"/>
        <v>14522</v>
      </c>
      <c r="J15" s="211">
        <f t="shared" si="2"/>
        <v>208</v>
      </c>
      <c r="K15" s="239">
        <f t="shared" si="2"/>
        <v>27</v>
      </c>
      <c r="L15" s="223">
        <f t="shared" si="2"/>
        <v>37144</v>
      </c>
      <c r="M15" s="211">
        <f t="shared" si="2"/>
        <v>640</v>
      </c>
      <c r="N15" s="352" t="s">
        <v>15</v>
      </c>
      <c r="O15" s="223">
        <f t="shared" si="2"/>
        <v>1</v>
      </c>
      <c r="P15" s="223">
        <f t="shared" si="2"/>
        <v>3810</v>
      </c>
      <c r="Q15" s="211">
        <f t="shared" si="2"/>
        <v>16</v>
      </c>
      <c r="R15" s="239">
        <f t="shared" si="2"/>
        <v>1</v>
      </c>
      <c r="S15" s="223">
        <f t="shared" si="2"/>
        <v>252</v>
      </c>
      <c r="T15" s="211">
        <f t="shared" si="2"/>
        <v>7</v>
      </c>
      <c r="U15" s="239">
        <f t="shared" si="2"/>
        <v>1643</v>
      </c>
      <c r="V15" s="223">
        <f t="shared" si="2"/>
        <v>78471</v>
      </c>
      <c r="W15" s="211">
        <f t="shared" si="2"/>
        <v>1968</v>
      </c>
    </row>
    <row r="16" spans="1:26" ht="18" customHeight="1">
      <c r="A16" s="260" t="s">
        <v>552</v>
      </c>
      <c r="B16" s="232">
        <v>156</v>
      </c>
      <c r="C16" s="225">
        <v>21806</v>
      </c>
      <c r="D16" s="216">
        <v>730</v>
      </c>
      <c r="E16" s="232">
        <v>16</v>
      </c>
      <c r="F16" s="225">
        <v>3290</v>
      </c>
      <c r="G16" s="216">
        <v>42</v>
      </c>
      <c r="H16" s="232">
        <v>8</v>
      </c>
      <c r="I16" s="225">
        <v>8351</v>
      </c>
      <c r="J16" s="216">
        <v>130</v>
      </c>
      <c r="K16" s="232">
        <v>10</v>
      </c>
      <c r="L16" s="225">
        <v>15882</v>
      </c>
      <c r="M16" s="216">
        <v>236</v>
      </c>
      <c r="N16" s="351" t="s">
        <v>552</v>
      </c>
      <c r="O16" s="225">
        <v>1</v>
      </c>
      <c r="P16" s="225">
        <v>3810</v>
      </c>
      <c r="Q16" s="216">
        <v>16</v>
      </c>
      <c r="R16" s="587" t="s">
        <v>570</v>
      </c>
      <c r="S16" s="587" t="s">
        <v>570</v>
      </c>
      <c r="T16" s="587" t="s">
        <v>570</v>
      </c>
      <c r="U16" s="232">
        <v>865</v>
      </c>
      <c r="V16" s="225">
        <v>40633</v>
      </c>
      <c r="W16" s="216">
        <v>1012</v>
      </c>
    </row>
    <row r="17" spans="1:23" ht="18" customHeight="1">
      <c r="A17" s="260" t="s">
        <v>565</v>
      </c>
      <c r="B17" s="232">
        <v>10</v>
      </c>
      <c r="C17" s="225">
        <v>1690</v>
      </c>
      <c r="D17" s="216">
        <v>37</v>
      </c>
      <c r="E17" s="232" t="s">
        <v>570</v>
      </c>
      <c r="F17" s="225" t="s">
        <v>570</v>
      </c>
      <c r="G17" s="216" t="s">
        <v>570</v>
      </c>
      <c r="H17" s="232">
        <v>2</v>
      </c>
      <c r="I17" s="225">
        <v>3219</v>
      </c>
      <c r="J17" s="216">
        <v>38</v>
      </c>
      <c r="K17" s="232">
        <v>5</v>
      </c>
      <c r="L17" s="225">
        <v>6872</v>
      </c>
      <c r="M17" s="216">
        <v>155</v>
      </c>
      <c r="N17" s="351" t="s">
        <v>565</v>
      </c>
      <c r="O17" s="587" t="s">
        <v>570</v>
      </c>
      <c r="P17" s="587" t="s">
        <v>570</v>
      </c>
      <c r="Q17" s="587" t="s">
        <v>570</v>
      </c>
      <c r="R17" s="232">
        <v>1</v>
      </c>
      <c r="S17" s="225">
        <v>252</v>
      </c>
      <c r="T17" s="216">
        <v>7</v>
      </c>
      <c r="U17" s="232">
        <v>45</v>
      </c>
      <c r="V17" s="225">
        <v>2780</v>
      </c>
      <c r="W17" s="216">
        <v>69</v>
      </c>
    </row>
    <row r="18" spans="1:23" ht="18" customHeight="1">
      <c r="A18" s="260" t="s">
        <v>553</v>
      </c>
      <c r="B18" s="232">
        <v>69</v>
      </c>
      <c r="C18" s="225">
        <v>7270</v>
      </c>
      <c r="D18" s="216">
        <v>275</v>
      </c>
      <c r="E18" s="232">
        <v>7</v>
      </c>
      <c r="F18" s="225">
        <v>1165</v>
      </c>
      <c r="G18" s="216">
        <v>21</v>
      </c>
      <c r="H18" s="225">
        <v>2</v>
      </c>
      <c r="I18" s="225">
        <v>1776</v>
      </c>
      <c r="J18" s="216">
        <v>30</v>
      </c>
      <c r="K18" s="232">
        <v>5</v>
      </c>
      <c r="L18" s="225">
        <v>7383</v>
      </c>
      <c r="M18" s="216">
        <v>105</v>
      </c>
      <c r="N18" s="351" t="s">
        <v>553</v>
      </c>
      <c r="O18" s="587" t="s">
        <v>570</v>
      </c>
      <c r="P18" s="587" t="s">
        <v>570</v>
      </c>
      <c r="Q18" s="1027" t="s">
        <v>570</v>
      </c>
      <c r="R18" s="587" t="s">
        <v>570</v>
      </c>
      <c r="S18" s="587" t="s">
        <v>570</v>
      </c>
      <c r="T18" s="587" t="s">
        <v>570</v>
      </c>
      <c r="U18" s="232">
        <v>307</v>
      </c>
      <c r="V18" s="225">
        <v>15486</v>
      </c>
      <c r="W18" s="216">
        <v>378</v>
      </c>
    </row>
    <row r="19" spans="1:23" ht="18" customHeight="1">
      <c r="A19" s="260" t="s">
        <v>554</v>
      </c>
      <c r="B19" s="232">
        <v>56</v>
      </c>
      <c r="C19" s="225">
        <v>10090</v>
      </c>
      <c r="D19" s="216">
        <v>242</v>
      </c>
      <c r="E19" s="232">
        <v>5</v>
      </c>
      <c r="F19" s="225">
        <v>475</v>
      </c>
      <c r="G19" s="216">
        <v>12</v>
      </c>
      <c r="H19" s="225">
        <v>1</v>
      </c>
      <c r="I19" s="225">
        <v>1176</v>
      </c>
      <c r="J19" s="216">
        <v>10</v>
      </c>
      <c r="K19" s="232">
        <v>7</v>
      </c>
      <c r="L19" s="225">
        <v>7007</v>
      </c>
      <c r="M19" s="216">
        <v>144</v>
      </c>
      <c r="N19" s="351" t="s">
        <v>554</v>
      </c>
      <c r="O19" s="587" t="s">
        <v>570</v>
      </c>
      <c r="P19" s="587" t="s">
        <v>570</v>
      </c>
      <c r="Q19" s="1027" t="s">
        <v>570</v>
      </c>
      <c r="R19" s="587" t="s">
        <v>570</v>
      </c>
      <c r="S19" s="587" t="s">
        <v>570</v>
      </c>
      <c r="T19" s="587" t="s">
        <v>570</v>
      </c>
      <c r="U19" s="232">
        <v>426</v>
      </c>
      <c r="V19" s="225">
        <v>19572</v>
      </c>
      <c r="W19" s="216">
        <v>509</v>
      </c>
    </row>
    <row r="20" spans="1:23" ht="18" customHeight="1">
      <c r="A20" s="259" t="s">
        <v>337</v>
      </c>
      <c r="B20" s="239">
        <f t="shared" ref="B20:M20" si="3">SUM(B21:B27)</f>
        <v>833</v>
      </c>
      <c r="C20" s="223">
        <f t="shared" si="3"/>
        <v>89978</v>
      </c>
      <c r="D20" s="211">
        <f t="shared" si="3"/>
        <v>3342</v>
      </c>
      <c r="E20" s="239">
        <f t="shared" si="3"/>
        <v>56</v>
      </c>
      <c r="F20" s="223">
        <f t="shared" si="3"/>
        <v>11372</v>
      </c>
      <c r="G20" s="223">
        <f t="shared" si="3"/>
        <v>209</v>
      </c>
      <c r="H20" s="239">
        <f t="shared" si="3"/>
        <v>34</v>
      </c>
      <c r="I20" s="223">
        <f t="shared" si="3"/>
        <v>36234</v>
      </c>
      <c r="J20" s="223">
        <f t="shared" si="3"/>
        <v>647</v>
      </c>
      <c r="K20" s="239">
        <f t="shared" si="3"/>
        <v>97</v>
      </c>
      <c r="L20" s="223">
        <f t="shared" si="3"/>
        <v>127257</v>
      </c>
      <c r="M20" s="211">
        <f t="shared" si="3"/>
        <v>2308</v>
      </c>
      <c r="N20" s="266" t="s">
        <v>337</v>
      </c>
      <c r="O20" s="223">
        <f t="shared" ref="O20:W20" si="4">SUM(O21:O27)</f>
        <v>7</v>
      </c>
      <c r="P20" s="223">
        <f t="shared" si="4"/>
        <v>22478</v>
      </c>
      <c r="Q20" s="211">
        <f t="shared" si="4"/>
        <v>130</v>
      </c>
      <c r="R20" s="239">
        <f t="shared" si="4"/>
        <v>18</v>
      </c>
      <c r="S20" s="223">
        <f t="shared" si="4"/>
        <v>3937</v>
      </c>
      <c r="T20" s="211">
        <f t="shared" si="4"/>
        <v>81</v>
      </c>
      <c r="U20" s="223">
        <f t="shared" si="4"/>
        <v>3709</v>
      </c>
      <c r="V20" s="223">
        <f t="shared" si="4"/>
        <v>179753</v>
      </c>
      <c r="W20" s="211">
        <f t="shared" si="4"/>
        <v>4859</v>
      </c>
    </row>
    <row r="21" spans="1:23" ht="18" customHeight="1">
      <c r="A21" s="260" t="s">
        <v>555</v>
      </c>
      <c r="B21" s="232">
        <v>127</v>
      </c>
      <c r="C21" s="225">
        <v>12898</v>
      </c>
      <c r="D21" s="216">
        <v>515</v>
      </c>
      <c r="E21" s="232">
        <v>14</v>
      </c>
      <c r="F21" s="225">
        <v>1906</v>
      </c>
      <c r="G21" s="216">
        <v>36</v>
      </c>
      <c r="H21" s="225">
        <v>3</v>
      </c>
      <c r="I21" s="225">
        <v>3402</v>
      </c>
      <c r="J21" s="216">
        <v>48</v>
      </c>
      <c r="K21" s="232">
        <v>12</v>
      </c>
      <c r="L21" s="225">
        <v>17454</v>
      </c>
      <c r="M21" s="216">
        <v>278</v>
      </c>
      <c r="N21" s="351" t="s">
        <v>555</v>
      </c>
      <c r="O21" s="225">
        <v>1</v>
      </c>
      <c r="P21" s="225">
        <v>4140</v>
      </c>
      <c r="Q21" s="216">
        <v>17</v>
      </c>
      <c r="R21" s="232">
        <v>3</v>
      </c>
      <c r="S21" s="225">
        <v>230</v>
      </c>
      <c r="T21" s="216">
        <v>8</v>
      </c>
      <c r="U21" s="232">
        <v>607</v>
      </c>
      <c r="V21" s="225">
        <v>26554</v>
      </c>
      <c r="W21" s="216">
        <v>753</v>
      </c>
    </row>
    <row r="22" spans="1:23" ht="18" customHeight="1">
      <c r="A22" s="260" t="s">
        <v>557</v>
      </c>
      <c r="B22" s="232">
        <v>159</v>
      </c>
      <c r="C22" s="225">
        <v>18755</v>
      </c>
      <c r="D22" s="216">
        <v>675</v>
      </c>
      <c r="E22" s="232">
        <v>9</v>
      </c>
      <c r="F22" s="225">
        <v>1921</v>
      </c>
      <c r="G22" s="216">
        <v>37</v>
      </c>
      <c r="H22" s="232">
        <v>3</v>
      </c>
      <c r="I22" s="225">
        <v>4488</v>
      </c>
      <c r="J22" s="216">
        <v>58</v>
      </c>
      <c r="K22" s="232">
        <v>18</v>
      </c>
      <c r="L22" s="225">
        <v>21274</v>
      </c>
      <c r="M22" s="216">
        <v>465</v>
      </c>
      <c r="N22" s="351" t="s">
        <v>557</v>
      </c>
      <c r="O22" s="225">
        <v>1</v>
      </c>
      <c r="P22" s="225">
        <v>4485</v>
      </c>
      <c r="Q22" s="216">
        <v>17</v>
      </c>
      <c r="R22" s="232">
        <v>3</v>
      </c>
      <c r="S22" s="225">
        <v>556</v>
      </c>
      <c r="T22" s="216">
        <v>30</v>
      </c>
      <c r="U22" s="232">
        <v>585</v>
      </c>
      <c r="V22" s="225">
        <v>37057</v>
      </c>
      <c r="W22" s="216">
        <v>830</v>
      </c>
    </row>
    <row r="23" spans="1:23" ht="18" customHeight="1">
      <c r="A23" s="260" t="s">
        <v>560</v>
      </c>
      <c r="B23" s="232">
        <v>97</v>
      </c>
      <c r="C23" s="225">
        <v>12331</v>
      </c>
      <c r="D23" s="216">
        <v>368</v>
      </c>
      <c r="E23" s="232">
        <v>5</v>
      </c>
      <c r="F23" s="225">
        <v>1031</v>
      </c>
      <c r="G23" s="216">
        <v>15</v>
      </c>
      <c r="H23" s="232">
        <v>5</v>
      </c>
      <c r="I23" s="225">
        <v>5790</v>
      </c>
      <c r="J23" s="216">
        <v>106</v>
      </c>
      <c r="K23" s="232">
        <v>14</v>
      </c>
      <c r="L23" s="225">
        <v>18394</v>
      </c>
      <c r="M23" s="216">
        <v>282</v>
      </c>
      <c r="N23" s="351" t="s">
        <v>560</v>
      </c>
      <c r="O23" s="225">
        <v>1</v>
      </c>
      <c r="P23" s="225">
        <v>2683</v>
      </c>
      <c r="Q23" s="216">
        <v>18</v>
      </c>
      <c r="R23" s="232">
        <v>2</v>
      </c>
      <c r="S23" s="225">
        <v>229</v>
      </c>
      <c r="T23" s="216">
        <v>5</v>
      </c>
      <c r="U23" s="232">
        <v>658</v>
      </c>
      <c r="V23" s="225">
        <v>26752</v>
      </c>
      <c r="W23" s="216">
        <v>847</v>
      </c>
    </row>
    <row r="24" spans="1:23" ht="18" customHeight="1">
      <c r="A24" s="260" t="s">
        <v>566</v>
      </c>
      <c r="B24" s="232">
        <v>111</v>
      </c>
      <c r="C24" s="225">
        <v>14318</v>
      </c>
      <c r="D24" s="216">
        <v>487</v>
      </c>
      <c r="E24" s="232">
        <v>11</v>
      </c>
      <c r="F24" s="225">
        <v>2976</v>
      </c>
      <c r="G24" s="216">
        <v>59</v>
      </c>
      <c r="H24" s="232">
        <v>9</v>
      </c>
      <c r="I24" s="225">
        <v>8519</v>
      </c>
      <c r="J24" s="216">
        <v>195</v>
      </c>
      <c r="K24" s="232">
        <v>13</v>
      </c>
      <c r="L24" s="225">
        <v>19830</v>
      </c>
      <c r="M24" s="216">
        <v>324</v>
      </c>
      <c r="N24" s="351" t="s">
        <v>566</v>
      </c>
      <c r="O24" s="225">
        <v>1</v>
      </c>
      <c r="P24" s="225">
        <v>2817</v>
      </c>
      <c r="Q24" s="216">
        <v>14</v>
      </c>
      <c r="R24" s="232">
        <v>2</v>
      </c>
      <c r="S24" s="225">
        <v>206</v>
      </c>
      <c r="T24" s="216">
        <v>5</v>
      </c>
      <c r="U24" s="232">
        <v>868</v>
      </c>
      <c r="V24" s="225">
        <v>35788</v>
      </c>
      <c r="W24" s="216">
        <v>1073</v>
      </c>
    </row>
    <row r="25" spans="1:23" ht="18" customHeight="1">
      <c r="A25" s="260" t="s">
        <v>567</v>
      </c>
      <c r="B25" s="232">
        <v>139</v>
      </c>
      <c r="C25" s="225">
        <v>13550</v>
      </c>
      <c r="D25" s="216">
        <v>561</v>
      </c>
      <c r="E25" s="232">
        <v>7</v>
      </c>
      <c r="F25" s="225">
        <v>1494</v>
      </c>
      <c r="G25" s="216">
        <v>26</v>
      </c>
      <c r="H25" s="232">
        <v>7</v>
      </c>
      <c r="I25" s="225">
        <v>6961</v>
      </c>
      <c r="J25" s="216">
        <v>115</v>
      </c>
      <c r="K25" s="232">
        <v>14</v>
      </c>
      <c r="L25" s="225">
        <v>19651</v>
      </c>
      <c r="M25" s="216">
        <v>297</v>
      </c>
      <c r="N25" s="351" t="s">
        <v>567</v>
      </c>
      <c r="O25" s="225">
        <v>1</v>
      </c>
      <c r="P25" s="225">
        <v>3491</v>
      </c>
      <c r="Q25" s="216">
        <v>17</v>
      </c>
      <c r="R25" s="587" t="s">
        <v>570</v>
      </c>
      <c r="S25" s="587" t="s">
        <v>570</v>
      </c>
      <c r="T25" s="587" t="s">
        <v>570</v>
      </c>
      <c r="U25" s="232">
        <v>454</v>
      </c>
      <c r="V25" s="225">
        <v>24090</v>
      </c>
      <c r="W25" s="216">
        <v>641</v>
      </c>
    </row>
    <row r="26" spans="1:23" ht="18" customHeight="1">
      <c r="A26" s="260" t="s">
        <v>568</v>
      </c>
      <c r="B26" s="232">
        <v>35</v>
      </c>
      <c r="C26" s="225">
        <v>2554</v>
      </c>
      <c r="D26" s="216">
        <v>94</v>
      </c>
      <c r="E26" s="232">
        <v>2</v>
      </c>
      <c r="F26" s="225">
        <v>745</v>
      </c>
      <c r="G26" s="216">
        <v>13</v>
      </c>
      <c r="H26" s="232">
        <v>1</v>
      </c>
      <c r="I26" s="225">
        <v>633</v>
      </c>
      <c r="J26" s="216">
        <v>15</v>
      </c>
      <c r="K26" s="232">
        <v>11</v>
      </c>
      <c r="L26" s="225">
        <v>11657</v>
      </c>
      <c r="M26" s="216">
        <v>330</v>
      </c>
      <c r="N26" s="351" t="s">
        <v>568</v>
      </c>
      <c r="O26" s="225">
        <v>2</v>
      </c>
      <c r="P26" s="225">
        <v>4862</v>
      </c>
      <c r="Q26" s="216">
        <v>47</v>
      </c>
      <c r="R26" s="232">
        <v>7</v>
      </c>
      <c r="S26" s="225">
        <v>2520</v>
      </c>
      <c r="T26" s="216">
        <v>31</v>
      </c>
      <c r="U26" s="232">
        <v>79</v>
      </c>
      <c r="V26" s="225">
        <v>3823</v>
      </c>
      <c r="W26" s="216">
        <v>90</v>
      </c>
    </row>
    <row r="27" spans="1:23" ht="18" customHeight="1">
      <c r="A27" s="260" t="s">
        <v>569</v>
      </c>
      <c r="B27" s="232">
        <v>165</v>
      </c>
      <c r="C27" s="225">
        <v>15572</v>
      </c>
      <c r="D27" s="216">
        <v>642</v>
      </c>
      <c r="E27" s="232">
        <v>8</v>
      </c>
      <c r="F27" s="225">
        <v>1299</v>
      </c>
      <c r="G27" s="216">
        <v>23</v>
      </c>
      <c r="H27" s="232">
        <v>6</v>
      </c>
      <c r="I27" s="225">
        <v>6441</v>
      </c>
      <c r="J27" s="216">
        <v>110</v>
      </c>
      <c r="K27" s="232">
        <v>15</v>
      </c>
      <c r="L27" s="225">
        <v>18997</v>
      </c>
      <c r="M27" s="216">
        <v>332</v>
      </c>
      <c r="N27" s="351" t="s">
        <v>569</v>
      </c>
      <c r="O27" s="587" t="s">
        <v>570</v>
      </c>
      <c r="P27" s="587" t="s">
        <v>570</v>
      </c>
      <c r="Q27" s="1027" t="s">
        <v>570</v>
      </c>
      <c r="R27" s="225">
        <v>1</v>
      </c>
      <c r="S27" s="244">
        <v>196</v>
      </c>
      <c r="T27" s="216">
        <v>2</v>
      </c>
      <c r="U27" s="232">
        <v>458</v>
      </c>
      <c r="V27" s="225">
        <v>25689</v>
      </c>
      <c r="W27" s="216">
        <v>625</v>
      </c>
    </row>
    <row r="28" spans="1:23" ht="15" customHeight="1">
      <c r="A28" s="262" t="s">
        <v>300</v>
      </c>
      <c r="B28" s="265">
        <f t="shared" ref="B28:M28" si="5">SUM(B20,B15,B7)</f>
        <v>2035</v>
      </c>
      <c r="C28" s="263">
        <f t="shared" si="5"/>
        <v>245914</v>
      </c>
      <c r="D28" s="264">
        <f t="shared" si="5"/>
        <v>8641</v>
      </c>
      <c r="E28" s="263">
        <f t="shared" si="5"/>
        <v>122</v>
      </c>
      <c r="F28" s="263">
        <f t="shared" si="5"/>
        <v>23214</v>
      </c>
      <c r="G28" s="264">
        <f t="shared" si="5"/>
        <v>440</v>
      </c>
      <c r="H28" s="263">
        <f t="shared" si="5"/>
        <v>98</v>
      </c>
      <c r="I28" s="263">
        <f t="shared" si="5"/>
        <v>101866</v>
      </c>
      <c r="J28" s="264">
        <f t="shared" si="5"/>
        <v>1857</v>
      </c>
      <c r="K28" s="265">
        <f t="shared" si="5"/>
        <v>240</v>
      </c>
      <c r="L28" s="263">
        <f t="shared" si="5"/>
        <v>326228</v>
      </c>
      <c r="M28" s="264">
        <f t="shared" si="5"/>
        <v>5883</v>
      </c>
      <c r="N28" s="355" t="s">
        <v>300</v>
      </c>
      <c r="O28" s="263">
        <f t="shared" ref="O28:W28" si="6">SUM(O20,O15,O7)</f>
        <v>16</v>
      </c>
      <c r="P28" s="263">
        <f t="shared" si="6"/>
        <v>45748</v>
      </c>
      <c r="Q28" s="264">
        <f t="shared" si="6"/>
        <v>356</v>
      </c>
      <c r="R28" s="263">
        <f t="shared" si="6"/>
        <v>53</v>
      </c>
      <c r="S28" s="590">
        <f t="shared" si="6"/>
        <v>17264</v>
      </c>
      <c r="T28" s="264">
        <f t="shared" si="6"/>
        <v>409</v>
      </c>
      <c r="U28" s="265">
        <f t="shared" si="6"/>
        <v>8104</v>
      </c>
      <c r="V28" s="263">
        <f t="shared" si="6"/>
        <v>447301</v>
      </c>
      <c r="W28" s="264">
        <f t="shared" si="6"/>
        <v>10591</v>
      </c>
    </row>
    <row r="29" spans="1:23">
      <c r="M29" s="851" t="s">
        <v>1011</v>
      </c>
      <c r="S29" s="55"/>
      <c r="T29" s="55"/>
      <c r="U29" s="55"/>
      <c r="V29" s="55"/>
      <c r="W29" s="875" t="s">
        <v>1037</v>
      </c>
    </row>
    <row r="37" spans="14:17" ht="30" customHeight="1">
      <c r="N37" s="353"/>
      <c r="O37" s="353"/>
      <c r="P37" s="353"/>
      <c r="Q37" s="353"/>
    </row>
  </sheetData>
  <mergeCells count="12">
    <mergeCell ref="O4:Q4"/>
    <mergeCell ref="N2:W2"/>
    <mergeCell ref="A4:A5"/>
    <mergeCell ref="A1:M1"/>
    <mergeCell ref="U4:W4"/>
    <mergeCell ref="A2:M2"/>
    <mergeCell ref="R4:T4"/>
    <mergeCell ref="B4:D4"/>
    <mergeCell ref="E4:G4"/>
    <mergeCell ref="H4:J4"/>
    <mergeCell ref="K4:M4"/>
    <mergeCell ref="N4:N5"/>
  </mergeCells>
  <phoneticPr fontId="0" type="noConversion"/>
  <printOptions horizontalCentered="1"/>
  <pageMargins left="0.1" right="0.1" top="0.63" bottom="0.1" header="0.5" footer="0.1"/>
  <pageSetup paperSize="9" orientation="landscape" blackAndWhite="1" r:id="rId1"/>
  <headerFooter alignWithMargins="0"/>
  <colBreaks count="1" manualBreakCount="1">
    <brk id="13" max="1048575" man="1"/>
  </colBreaks>
</worksheet>
</file>

<file path=xl/worksheets/sheet36.xml><?xml version="1.0" encoding="utf-8"?>
<worksheet xmlns="http://schemas.openxmlformats.org/spreadsheetml/2006/main" xmlns:r="http://schemas.openxmlformats.org/officeDocument/2006/relationships">
  <sheetPr codeName="Sheet41"/>
  <dimension ref="A1:M37"/>
  <sheetViews>
    <sheetView topLeftCell="A16" workbookViewId="0">
      <selection activeCell="G16" sqref="G16"/>
    </sheetView>
  </sheetViews>
  <sheetFormatPr defaultRowHeight="12.75"/>
  <cols>
    <col min="1" max="1" width="23" customWidth="1"/>
    <col min="2" max="10" width="11.7109375" customWidth="1"/>
  </cols>
  <sheetData>
    <row r="1" spans="1:13" ht="14.25" customHeight="1">
      <c r="A1" s="1524" t="s">
        <v>421</v>
      </c>
      <c r="B1" s="1524"/>
      <c r="C1" s="1524"/>
      <c r="D1" s="1524"/>
      <c r="E1" s="1524"/>
      <c r="F1" s="1524"/>
      <c r="G1" s="1524"/>
      <c r="H1" s="1524"/>
      <c r="I1" s="1524"/>
      <c r="J1" s="1524"/>
    </row>
    <row r="2" spans="1:13" ht="21.75" customHeight="1">
      <c r="A2" s="1579" t="str">
        <f>CONCATENATE("Literacy Rate by sex in rural and urban areas in the district of ",District!A1,", 2011")</f>
        <v>Literacy Rate by sex in rural and urban areas in the district of Jalpaiguri, 2011</v>
      </c>
      <c r="B2" s="1579"/>
      <c r="C2" s="1579"/>
      <c r="D2" s="1579"/>
      <c r="E2" s="1579"/>
      <c r="F2" s="1579"/>
      <c r="G2" s="1579"/>
      <c r="H2" s="1579"/>
      <c r="I2" s="1579"/>
      <c r="J2" s="1579"/>
      <c r="K2" s="23"/>
      <c r="L2" s="23"/>
      <c r="M2" s="23"/>
    </row>
    <row r="3" spans="1:13" s="6" customFormat="1" ht="14.25" customHeight="1">
      <c r="A3" s="1186"/>
      <c r="B3" s="1186"/>
      <c r="C3" s="1186"/>
      <c r="D3" s="1186"/>
      <c r="E3" s="1186"/>
      <c r="F3" s="1186"/>
      <c r="G3" s="1186"/>
      <c r="H3" s="1186"/>
      <c r="I3" s="1186"/>
      <c r="J3" s="1188" t="s">
        <v>1208</v>
      </c>
      <c r="K3" s="1187"/>
      <c r="L3" s="1187"/>
      <c r="M3" s="1187"/>
    </row>
    <row r="4" spans="1:13" ht="15" customHeight="1">
      <c r="A4" s="1299" t="s">
        <v>849</v>
      </c>
      <c r="B4" s="1445" t="s">
        <v>335</v>
      </c>
      <c r="C4" s="1444"/>
      <c r="D4" s="1446"/>
      <c r="E4" s="1445" t="s">
        <v>334</v>
      </c>
      <c r="F4" s="1444"/>
      <c r="G4" s="1446"/>
      <c r="H4" s="1445" t="s">
        <v>300</v>
      </c>
      <c r="I4" s="1444"/>
      <c r="J4" s="1446"/>
    </row>
    <row r="5" spans="1:13" ht="15" customHeight="1">
      <c r="A5" s="1302"/>
      <c r="B5" s="369" t="s">
        <v>332</v>
      </c>
      <c r="C5" s="370" t="s">
        <v>333</v>
      </c>
      <c r="D5" s="371" t="s">
        <v>300</v>
      </c>
      <c r="E5" s="369" t="s">
        <v>332</v>
      </c>
      <c r="F5" s="370" t="s">
        <v>333</v>
      </c>
      <c r="G5" s="371" t="s">
        <v>300</v>
      </c>
      <c r="H5" s="369" t="s">
        <v>332</v>
      </c>
      <c r="I5" s="370" t="s">
        <v>333</v>
      </c>
      <c r="J5" s="371" t="s">
        <v>300</v>
      </c>
    </row>
    <row r="6" spans="1:13" ht="15" customHeight="1">
      <c r="A6" s="57" t="s">
        <v>278</v>
      </c>
      <c r="B6" s="92" t="s">
        <v>279</v>
      </c>
      <c r="C6" s="87" t="s">
        <v>280</v>
      </c>
      <c r="D6" s="58" t="s">
        <v>281</v>
      </c>
      <c r="E6" s="87" t="s">
        <v>282</v>
      </c>
      <c r="F6" s="93" t="s">
        <v>283</v>
      </c>
      <c r="G6" s="58" t="s">
        <v>284</v>
      </c>
      <c r="H6" s="93" t="s">
        <v>301</v>
      </c>
      <c r="I6" s="93" t="s">
        <v>302</v>
      </c>
      <c r="J6" s="60" t="s">
        <v>303</v>
      </c>
    </row>
    <row r="7" spans="1:13" ht="18" customHeight="1">
      <c r="A7" s="266" t="s">
        <v>11</v>
      </c>
      <c r="B7" s="267">
        <v>79.11</v>
      </c>
      <c r="C7" s="267">
        <v>64.19</v>
      </c>
      <c r="D7" s="213">
        <v>71.86</v>
      </c>
      <c r="E7" s="267">
        <v>86.04</v>
      </c>
      <c r="F7" s="267">
        <v>76.83</v>
      </c>
      <c r="G7" s="213">
        <v>81.53</v>
      </c>
      <c r="H7" s="267">
        <v>81.77</v>
      </c>
      <c r="I7" s="267">
        <v>69.09</v>
      </c>
      <c r="J7" s="213">
        <v>75.59</v>
      </c>
    </row>
    <row r="8" spans="1:13" ht="18" customHeight="1">
      <c r="A8" s="268" t="s">
        <v>561</v>
      </c>
      <c r="B8" s="269">
        <v>79.25</v>
      </c>
      <c r="C8" s="269">
        <v>65.42</v>
      </c>
      <c r="D8" s="168">
        <v>72.62</v>
      </c>
      <c r="E8" s="269">
        <v>77.75</v>
      </c>
      <c r="F8" s="269">
        <v>64.92</v>
      </c>
      <c r="G8" s="168">
        <v>71.52</v>
      </c>
      <c r="H8" s="269">
        <v>78.52</v>
      </c>
      <c r="I8" s="269">
        <v>65.180000000000007</v>
      </c>
      <c r="J8" s="168">
        <v>72.08</v>
      </c>
    </row>
    <row r="9" spans="1:13" ht="18" customHeight="1">
      <c r="A9" s="268" t="s">
        <v>1149</v>
      </c>
      <c r="B9" s="269">
        <v>79.62</v>
      </c>
      <c r="C9" s="269">
        <v>65.06</v>
      </c>
      <c r="D9" s="168">
        <v>72.55</v>
      </c>
      <c r="E9" s="269">
        <v>84.28</v>
      </c>
      <c r="F9" s="269">
        <v>73.67</v>
      </c>
      <c r="G9" s="168">
        <v>79.09</v>
      </c>
      <c r="H9" s="269">
        <v>80.52</v>
      </c>
      <c r="I9" s="269">
        <v>66.73</v>
      </c>
      <c r="J9" s="168">
        <v>73.81</v>
      </c>
    </row>
    <row r="10" spans="1:13" ht="18" customHeight="1">
      <c r="A10" s="268" t="s">
        <v>562</v>
      </c>
      <c r="B10" s="269" t="s">
        <v>570</v>
      </c>
      <c r="C10" s="269" t="s">
        <v>570</v>
      </c>
      <c r="D10" s="168" t="s">
        <v>570</v>
      </c>
      <c r="E10" s="269">
        <v>93.14</v>
      </c>
      <c r="F10" s="269">
        <v>88.15</v>
      </c>
      <c r="G10" s="168">
        <v>90.64</v>
      </c>
      <c r="H10" s="269">
        <v>93.14</v>
      </c>
      <c r="I10" s="269">
        <v>88.15</v>
      </c>
      <c r="J10" s="168">
        <v>90.64</v>
      </c>
    </row>
    <row r="11" spans="1:13" ht="18" customHeight="1">
      <c r="A11" s="268" t="s">
        <v>549</v>
      </c>
      <c r="B11" s="269">
        <v>80.959999999999994</v>
      </c>
      <c r="C11" s="269">
        <v>66.900000000000006</v>
      </c>
      <c r="D11" s="168">
        <v>74.19</v>
      </c>
      <c r="E11" s="269">
        <v>89.63</v>
      </c>
      <c r="F11" s="269">
        <v>82.83</v>
      </c>
      <c r="G11" s="168">
        <v>86.28</v>
      </c>
      <c r="H11" s="269">
        <v>81.98</v>
      </c>
      <c r="I11" s="269">
        <v>68.84</v>
      </c>
      <c r="J11" s="168">
        <v>75.63</v>
      </c>
    </row>
    <row r="12" spans="1:13" ht="18" customHeight="1">
      <c r="A12" s="268" t="s">
        <v>550</v>
      </c>
      <c r="B12" s="269">
        <v>77.25</v>
      </c>
      <c r="C12" s="269">
        <v>60.96</v>
      </c>
      <c r="D12" s="168">
        <v>69.23</v>
      </c>
      <c r="E12" s="269">
        <v>80.959999999999994</v>
      </c>
      <c r="F12" s="269">
        <v>65.55</v>
      </c>
      <c r="G12" s="168">
        <v>73.3</v>
      </c>
      <c r="H12" s="269">
        <v>77.56</v>
      </c>
      <c r="I12" s="269">
        <v>61.36</v>
      </c>
      <c r="J12" s="168">
        <v>69.569999999999993</v>
      </c>
    </row>
    <row r="13" spans="1:13" ht="18" customHeight="1">
      <c r="A13" s="268" t="s">
        <v>563</v>
      </c>
      <c r="B13" s="269" t="s">
        <v>570</v>
      </c>
      <c r="C13" s="269" t="s">
        <v>570</v>
      </c>
      <c r="D13" s="168" t="s">
        <v>570</v>
      </c>
      <c r="E13" s="269">
        <v>90.15</v>
      </c>
      <c r="F13" s="269">
        <v>82.3</v>
      </c>
      <c r="G13" s="168">
        <v>86.34</v>
      </c>
      <c r="H13" s="269">
        <v>90.15</v>
      </c>
      <c r="I13" s="269">
        <v>82.3</v>
      </c>
      <c r="J13" s="168">
        <v>86.34</v>
      </c>
    </row>
    <row r="14" spans="1:13" ht="18" customHeight="1">
      <c r="A14" s="268" t="s">
        <v>765</v>
      </c>
      <c r="B14" s="269" t="s">
        <v>570</v>
      </c>
      <c r="C14" s="269" t="s">
        <v>570</v>
      </c>
      <c r="D14" s="168" t="s">
        <v>570</v>
      </c>
      <c r="E14" s="269">
        <v>89.09</v>
      </c>
      <c r="F14" s="269">
        <v>81.13</v>
      </c>
      <c r="G14" s="168">
        <v>85.21</v>
      </c>
      <c r="H14" s="269">
        <v>89.09</v>
      </c>
      <c r="I14" s="269">
        <v>81.13</v>
      </c>
      <c r="J14" s="168">
        <v>85.21</v>
      </c>
    </row>
    <row r="15" spans="1:13" ht="18" customHeight="1">
      <c r="A15" s="266" t="s">
        <v>15</v>
      </c>
      <c r="B15" s="267">
        <v>73.25</v>
      </c>
      <c r="C15" s="267">
        <v>55.28</v>
      </c>
      <c r="D15" s="213">
        <v>64.39</v>
      </c>
      <c r="E15" s="267">
        <v>86.41</v>
      </c>
      <c r="F15" s="267">
        <v>76.16</v>
      </c>
      <c r="G15" s="213">
        <v>81.34</v>
      </c>
      <c r="H15" s="267">
        <v>74.78</v>
      </c>
      <c r="I15" s="267">
        <v>57.71</v>
      </c>
      <c r="J15" s="213">
        <v>66.36</v>
      </c>
    </row>
    <row r="16" spans="1:13" ht="18" customHeight="1">
      <c r="A16" s="268" t="s">
        <v>552</v>
      </c>
      <c r="B16" s="269">
        <v>73.53</v>
      </c>
      <c r="C16" s="269">
        <v>57.09</v>
      </c>
      <c r="D16" s="168">
        <v>65.42</v>
      </c>
      <c r="E16" s="269">
        <v>82.13</v>
      </c>
      <c r="F16" s="269">
        <v>70.290000000000006</v>
      </c>
      <c r="G16" s="168">
        <v>76.27</v>
      </c>
      <c r="H16" s="269">
        <v>74.23</v>
      </c>
      <c r="I16" s="269">
        <v>58.17</v>
      </c>
      <c r="J16" s="168">
        <v>66.31</v>
      </c>
    </row>
    <row r="17" spans="1:10" ht="18" customHeight="1">
      <c r="A17" s="268" t="s">
        <v>565</v>
      </c>
      <c r="B17" s="269" t="s">
        <v>570</v>
      </c>
      <c r="C17" s="269" t="s">
        <v>570</v>
      </c>
      <c r="D17" s="168" t="s">
        <v>570</v>
      </c>
      <c r="E17" s="269">
        <v>92.23</v>
      </c>
      <c r="F17" s="269">
        <v>85.03</v>
      </c>
      <c r="G17" s="168">
        <v>88.68</v>
      </c>
      <c r="H17" s="269">
        <v>92.23</v>
      </c>
      <c r="I17" s="269">
        <v>85.03</v>
      </c>
      <c r="J17" s="168">
        <v>88.68</v>
      </c>
    </row>
    <row r="18" spans="1:10" ht="18" customHeight="1">
      <c r="A18" s="268" t="s">
        <v>553</v>
      </c>
      <c r="B18" s="269">
        <v>75.8</v>
      </c>
      <c r="C18" s="269">
        <v>54.61</v>
      </c>
      <c r="D18" s="168">
        <v>65.48</v>
      </c>
      <c r="E18" s="269">
        <v>83.2</v>
      </c>
      <c r="F18" s="269">
        <v>70.400000000000006</v>
      </c>
      <c r="G18" s="168">
        <v>76.87</v>
      </c>
      <c r="H18" s="269">
        <v>76.760000000000005</v>
      </c>
      <c r="I18" s="269">
        <v>56.71</v>
      </c>
      <c r="J18" s="168">
        <v>66.98</v>
      </c>
    </row>
    <row r="19" spans="1:10" ht="18" customHeight="1">
      <c r="A19" s="268" t="s">
        <v>554</v>
      </c>
      <c r="B19" s="269">
        <v>70.510000000000005</v>
      </c>
      <c r="C19" s="269">
        <v>51.93</v>
      </c>
      <c r="D19" s="168">
        <v>61.27</v>
      </c>
      <c r="E19" s="269" t="s">
        <v>570</v>
      </c>
      <c r="F19" s="269" t="s">
        <v>570</v>
      </c>
      <c r="G19" s="168" t="s">
        <v>570</v>
      </c>
      <c r="H19" s="269">
        <v>70.510000000000005</v>
      </c>
      <c r="I19" s="269">
        <v>51.93</v>
      </c>
      <c r="J19" s="168">
        <v>61.27</v>
      </c>
    </row>
    <row r="20" spans="1:10" ht="18" customHeight="1">
      <c r="A20" s="266" t="s">
        <v>337</v>
      </c>
      <c r="B20" s="267">
        <v>77.28</v>
      </c>
      <c r="C20" s="267">
        <v>62.38</v>
      </c>
      <c r="D20" s="213">
        <v>69.97</v>
      </c>
      <c r="E20" s="267">
        <v>88.36</v>
      </c>
      <c r="F20" s="267">
        <v>80.209999999999994</v>
      </c>
      <c r="G20" s="213">
        <v>84.51</v>
      </c>
      <c r="H20" s="267">
        <v>79.67</v>
      </c>
      <c r="I20" s="267">
        <v>66.010000000000005</v>
      </c>
      <c r="J20" s="213">
        <v>73.03</v>
      </c>
    </row>
    <row r="21" spans="1:10" ht="18" customHeight="1">
      <c r="A21" s="268" t="s">
        <v>555</v>
      </c>
      <c r="B21" s="269">
        <v>76.63</v>
      </c>
      <c r="C21" s="269">
        <v>62.56</v>
      </c>
      <c r="D21" s="168">
        <v>69.790000000000006</v>
      </c>
      <c r="E21" s="269">
        <v>92.75</v>
      </c>
      <c r="F21" s="269">
        <v>86.48</v>
      </c>
      <c r="G21" s="168">
        <v>89.71</v>
      </c>
      <c r="H21" s="269">
        <v>78.760000000000005</v>
      </c>
      <c r="I21" s="269">
        <v>65.709999999999994</v>
      </c>
      <c r="J21" s="168">
        <v>72.42</v>
      </c>
    </row>
    <row r="22" spans="1:10" ht="18" customHeight="1">
      <c r="A22" s="268" t="s">
        <v>557</v>
      </c>
      <c r="B22" s="269">
        <v>77.19</v>
      </c>
      <c r="C22" s="269">
        <v>63.52</v>
      </c>
      <c r="D22" s="168">
        <v>70.56</v>
      </c>
      <c r="E22" s="269">
        <v>87.19</v>
      </c>
      <c r="F22" s="269">
        <v>79.180000000000007</v>
      </c>
      <c r="G22" s="168">
        <v>83.3</v>
      </c>
      <c r="H22" s="269">
        <v>78.83</v>
      </c>
      <c r="I22" s="269">
        <v>66.08</v>
      </c>
      <c r="J22" s="168">
        <v>72.64</v>
      </c>
    </row>
    <row r="23" spans="1:10" ht="18" customHeight="1">
      <c r="A23" s="268" t="s">
        <v>560</v>
      </c>
      <c r="B23" s="269">
        <v>75.27</v>
      </c>
      <c r="C23" s="269">
        <v>58.45</v>
      </c>
      <c r="D23" s="168">
        <v>66.89</v>
      </c>
      <c r="E23" s="269">
        <v>84.53</v>
      </c>
      <c r="F23" s="269">
        <v>74.790000000000006</v>
      </c>
      <c r="G23" s="168">
        <v>79.760000000000005</v>
      </c>
      <c r="H23" s="269">
        <v>75.92</v>
      </c>
      <c r="I23" s="269">
        <v>59.55</v>
      </c>
      <c r="J23" s="168">
        <v>67.77</v>
      </c>
    </row>
    <row r="24" spans="1:10" ht="18" customHeight="1">
      <c r="A24" s="268" t="s">
        <v>566</v>
      </c>
      <c r="B24" s="269">
        <v>74.55</v>
      </c>
      <c r="C24" s="269">
        <v>56.16</v>
      </c>
      <c r="D24" s="168">
        <v>65.319999999999993</v>
      </c>
      <c r="E24" s="269">
        <v>83.59</v>
      </c>
      <c r="F24" s="269">
        <v>70.17</v>
      </c>
      <c r="G24" s="168">
        <v>77.87</v>
      </c>
      <c r="H24" s="269">
        <v>77.45</v>
      </c>
      <c r="I24" s="269">
        <v>59.77</v>
      </c>
      <c r="J24" s="168">
        <v>68.959999999999994</v>
      </c>
    </row>
    <row r="25" spans="1:10" ht="18" customHeight="1">
      <c r="A25" s="268" t="s">
        <v>567</v>
      </c>
      <c r="B25" s="269">
        <v>78.98</v>
      </c>
      <c r="C25" s="269">
        <v>65.069999999999993</v>
      </c>
      <c r="D25" s="168">
        <v>72.260000000000005</v>
      </c>
      <c r="E25" s="269">
        <v>90.82</v>
      </c>
      <c r="F25" s="269">
        <v>83.13</v>
      </c>
      <c r="G25" s="168">
        <v>87.02</v>
      </c>
      <c r="H25" s="269">
        <v>82.09</v>
      </c>
      <c r="I25" s="269">
        <v>69.959999999999994</v>
      </c>
      <c r="J25" s="168">
        <v>76.19</v>
      </c>
    </row>
    <row r="26" spans="1:10" ht="18" customHeight="1">
      <c r="A26" s="268" t="s">
        <v>568</v>
      </c>
      <c r="B26" s="269" t="s">
        <v>570</v>
      </c>
      <c r="C26" s="269" t="s">
        <v>570</v>
      </c>
      <c r="D26" s="168" t="s">
        <v>570</v>
      </c>
      <c r="E26" s="269">
        <v>93.34</v>
      </c>
      <c r="F26" s="269">
        <v>88.65</v>
      </c>
      <c r="G26" s="168">
        <v>91.03</v>
      </c>
      <c r="H26" s="269">
        <v>93.34</v>
      </c>
      <c r="I26" s="269">
        <v>88.65</v>
      </c>
      <c r="J26" s="168">
        <v>91.03</v>
      </c>
    </row>
    <row r="27" spans="1:10" ht="18" customHeight="1">
      <c r="A27" s="270" t="s">
        <v>569</v>
      </c>
      <c r="B27" s="271">
        <v>81.11</v>
      </c>
      <c r="C27" s="272">
        <v>69.11</v>
      </c>
      <c r="D27" s="273">
        <v>75.290000000000006</v>
      </c>
      <c r="E27" s="272">
        <v>86.96</v>
      </c>
      <c r="F27" s="272">
        <v>78.38</v>
      </c>
      <c r="G27" s="273">
        <v>82.79</v>
      </c>
      <c r="H27" s="272">
        <v>81.48</v>
      </c>
      <c r="I27" s="272">
        <v>69.7</v>
      </c>
      <c r="J27" s="273">
        <v>75.760000000000005</v>
      </c>
    </row>
    <row r="28" spans="1:10" s="7" customFormat="1" ht="15.95" customHeight="1">
      <c r="A28" s="1156" t="s">
        <v>1468</v>
      </c>
      <c r="B28" s="219">
        <v>77.3</v>
      </c>
      <c r="C28" s="1157" t="s">
        <v>477</v>
      </c>
      <c r="D28" s="220" t="s">
        <v>478</v>
      </c>
      <c r="E28" s="1157" t="s">
        <v>479</v>
      </c>
      <c r="F28" s="1157" t="s">
        <v>480</v>
      </c>
      <c r="G28" s="220" t="s">
        <v>481</v>
      </c>
      <c r="H28" s="1157" t="s">
        <v>482</v>
      </c>
      <c r="I28" s="1157" t="s">
        <v>483</v>
      </c>
      <c r="J28" s="220" t="s">
        <v>484</v>
      </c>
    </row>
    <row r="29" spans="1:10">
      <c r="A29" s="908" t="s">
        <v>810</v>
      </c>
      <c r="B29" s="66"/>
      <c r="C29" s="66"/>
      <c r="D29" s="66"/>
      <c r="E29" s="66"/>
      <c r="F29" s="66"/>
      <c r="G29" s="66"/>
      <c r="H29" s="36"/>
      <c r="I29" s="36"/>
      <c r="J29" s="905" t="s">
        <v>770</v>
      </c>
    </row>
    <row r="30" spans="1:10">
      <c r="A30" s="36"/>
      <c r="B30" s="36"/>
      <c r="C30" s="36"/>
      <c r="D30" s="36"/>
      <c r="E30" s="36"/>
      <c r="F30" s="36"/>
      <c r="H30" s="66"/>
      <c r="I30" s="66"/>
      <c r="J30" s="66"/>
    </row>
    <row r="31" spans="1:10">
      <c r="A31" s="36"/>
      <c r="B31" s="36"/>
      <c r="C31" s="36"/>
      <c r="D31" s="36"/>
      <c r="E31" s="36"/>
      <c r="F31" s="36"/>
      <c r="G31" s="36"/>
      <c r="H31" s="36"/>
      <c r="I31" s="36"/>
      <c r="J31" s="36"/>
    </row>
    <row r="32" spans="1:10">
      <c r="A32" s="36"/>
      <c r="B32" s="36"/>
      <c r="C32" s="36"/>
      <c r="D32" s="36"/>
      <c r="E32" s="36"/>
      <c r="F32" s="36"/>
      <c r="G32" s="36"/>
      <c r="H32" s="36"/>
      <c r="I32" s="36"/>
      <c r="J32" s="36"/>
    </row>
    <row r="33" spans="1:10">
      <c r="A33" s="36"/>
      <c r="B33" s="36"/>
      <c r="C33" s="36"/>
      <c r="D33" s="36"/>
      <c r="E33" s="36"/>
      <c r="F33" s="36"/>
      <c r="G33" s="36"/>
      <c r="H33" s="36"/>
      <c r="I33" s="36"/>
      <c r="J33" s="36"/>
    </row>
    <row r="34" spans="1:10">
      <c r="A34" s="36"/>
      <c r="B34" s="36"/>
      <c r="C34" s="36"/>
      <c r="D34" s="36"/>
      <c r="E34" s="36"/>
      <c r="F34" s="36"/>
      <c r="G34" s="36"/>
      <c r="H34" s="36"/>
      <c r="I34" s="36"/>
      <c r="J34" s="36"/>
    </row>
    <row r="35" spans="1:10">
      <c r="A35" s="36"/>
      <c r="B35" s="36"/>
      <c r="C35" s="36"/>
      <c r="D35" s="36"/>
      <c r="E35" s="36"/>
      <c r="F35" s="36"/>
      <c r="G35" s="36"/>
      <c r="H35" s="36"/>
      <c r="I35" s="36"/>
      <c r="J35" s="36"/>
    </row>
    <row r="36" spans="1:10">
      <c r="A36" s="36"/>
      <c r="B36" s="36"/>
      <c r="C36" s="36"/>
      <c r="D36" s="36"/>
      <c r="E36" s="36"/>
      <c r="F36" s="36"/>
      <c r="G36" s="36"/>
      <c r="H36" s="36"/>
      <c r="I36" s="36"/>
      <c r="J36" s="36"/>
    </row>
    <row r="37" spans="1:10">
      <c r="A37" s="36"/>
      <c r="B37" s="36"/>
      <c r="C37" s="36"/>
      <c r="D37" s="36"/>
      <c r="E37" s="36"/>
      <c r="F37" s="36"/>
      <c r="G37" s="36"/>
      <c r="H37" s="36"/>
      <c r="I37" s="36"/>
      <c r="J37" s="36"/>
    </row>
  </sheetData>
  <mergeCells count="6">
    <mergeCell ref="A1:J1"/>
    <mergeCell ref="A2:J2"/>
    <mergeCell ref="A4:A5"/>
    <mergeCell ref="B4:D4"/>
    <mergeCell ref="E4:G4"/>
    <mergeCell ref="H4:J4"/>
  </mergeCells>
  <phoneticPr fontId="120" type="noConversion"/>
  <printOptions horizontalCentered="1"/>
  <pageMargins left="0.1" right="0.1" top="0.76" bottom="0.1" header="0.5" footer="0.1"/>
  <pageSetup paperSize="9" scale="99" orientation="landscape" blackAndWhite="1" r:id="rId1"/>
  <headerFooter alignWithMargins="0"/>
</worksheet>
</file>

<file path=xl/worksheets/sheet37.xml><?xml version="1.0" encoding="utf-8"?>
<worksheet xmlns="http://schemas.openxmlformats.org/spreadsheetml/2006/main" xmlns:r="http://schemas.openxmlformats.org/officeDocument/2006/relationships">
  <sheetPr codeName="Sheet35"/>
  <dimension ref="A1:G43"/>
  <sheetViews>
    <sheetView topLeftCell="A25" workbookViewId="0">
      <selection activeCell="A33" sqref="A33:A34"/>
    </sheetView>
  </sheetViews>
  <sheetFormatPr defaultRowHeight="12.4" customHeight="1"/>
  <cols>
    <col min="1" max="1" width="25.28515625" customWidth="1"/>
    <col min="2" max="2" width="18.42578125" customWidth="1"/>
    <col min="3" max="3" width="17.85546875" customWidth="1"/>
    <col min="4" max="4" width="21" customWidth="1"/>
  </cols>
  <sheetData>
    <row r="1" spans="1:7" ht="18" customHeight="1">
      <c r="A1" s="1393" t="s">
        <v>1069</v>
      </c>
      <c r="B1" s="1393"/>
      <c r="C1" s="1393"/>
      <c r="D1" s="1393"/>
      <c r="E1" s="773"/>
      <c r="F1" s="773"/>
      <c r="G1" s="773"/>
    </row>
    <row r="2" spans="1:7" ht="36" customHeight="1">
      <c r="A2" s="1494" t="str">
        <f>CONCATENATE("Public Libraries, Reading Rooms and Mass Literacy Centres 
in the district of ",District!A1)</f>
        <v>Public Libraries, Reading Rooms and Mass Literacy Centres 
in the district of Jalpaiguri</v>
      </c>
      <c r="B2" s="1494"/>
      <c r="C2" s="1494"/>
      <c r="D2" s="1494"/>
    </row>
    <row r="3" spans="1:7" ht="12" customHeight="1">
      <c r="B3" s="4"/>
      <c r="C3" s="4"/>
      <c r="D3" s="1048" t="s">
        <v>312</v>
      </c>
    </row>
    <row r="4" spans="1:7" ht="44.25" customHeight="1">
      <c r="A4" s="373" t="s">
        <v>98</v>
      </c>
      <c r="B4" s="373" t="s">
        <v>1126</v>
      </c>
      <c r="C4" s="373" t="s">
        <v>1496</v>
      </c>
      <c r="D4" s="1243" t="s">
        <v>1618</v>
      </c>
    </row>
    <row r="5" spans="1:7" ht="18.75" customHeight="1">
      <c r="A5" s="57" t="s">
        <v>278</v>
      </c>
      <c r="B5" s="57" t="s">
        <v>279</v>
      </c>
      <c r="C5" s="57" t="s">
        <v>280</v>
      </c>
      <c r="D5" s="58" t="s">
        <v>281</v>
      </c>
    </row>
    <row r="6" spans="1:7" ht="18" customHeight="1">
      <c r="A6" s="91" t="s">
        <v>1110</v>
      </c>
      <c r="B6" s="52">
        <v>110</v>
      </c>
      <c r="C6" s="52">
        <v>110</v>
      </c>
      <c r="D6" s="216">
        <v>146</v>
      </c>
    </row>
    <row r="7" spans="1:7" ht="18" customHeight="1">
      <c r="A7" s="91" t="s">
        <v>1111</v>
      </c>
      <c r="B7" s="52">
        <v>110</v>
      </c>
      <c r="C7" s="52">
        <v>110</v>
      </c>
      <c r="D7" s="216">
        <v>146</v>
      </c>
    </row>
    <row r="8" spans="1:7" ht="18" customHeight="1">
      <c r="A8" s="91" t="s">
        <v>641</v>
      </c>
      <c r="B8" s="52">
        <v>110</v>
      </c>
      <c r="C8" s="52">
        <v>110</v>
      </c>
      <c r="D8" s="450">
        <v>146</v>
      </c>
      <c r="E8" s="561"/>
    </row>
    <row r="9" spans="1:7" ht="18" customHeight="1">
      <c r="A9" s="91" t="s">
        <v>909</v>
      </c>
      <c r="B9" s="52">
        <v>110</v>
      </c>
      <c r="C9" s="52">
        <v>110</v>
      </c>
      <c r="D9" s="450">
        <v>146</v>
      </c>
    </row>
    <row r="10" spans="1:7" ht="18" customHeight="1">
      <c r="A10" s="275" t="s">
        <v>895</v>
      </c>
      <c r="B10" s="430">
        <f>SUM(B12,B20,B25)</f>
        <v>110</v>
      </c>
      <c r="C10" s="430">
        <f>SUM(C12,C20,C25)</f>
        <v>110</v>
      </c>
      <c r="D10" s="455">
        <v>146</v>
      </c>
    </row>
    <row r="11" spans="1:7" ht="30" customHeight="1">
      <c r="A11" s="297" t="s">
        <v>849</v>
      </c>
      <c r="B11" s="1305" t="str">
        <f>"Year : "  &amp;  A10</f>
        <v>Year : 2013-14</v>
      </c>
      <c r="C11" s="1581"/>
      <c r="D11" s="1306"/>
    </row>
    <row r="12" spans="1:7" ht="20.100000000000001" customHeight="1">
      <c r="A12" s="266" t="s">
        <v>11</v>
      </c>
      <c r="B12" s="222">
        <f>SUM(B13:B19)</f>
        <v>60</v>
      </c>
      <c r="C12" s="222">
        <f>SUM(C13:C19)</f>
        <v>60</v>
      </c>
      <c r="D12" s="241">
        <f>SUM(D13:D18)</f>
        <v>58</v>
      </c>
    </row>
    <row r="13" spans="1:7" ht="20.100000000000001" customHeight="1">
      <c r="A13" s="268" t="s">
        <v>561</v>
      </c>
      <c r="B13" s="52">
        <v>8</v>
      </c>
      <c r="C13" s="52">
        <v>8</v>
      </c>
      <c r="D13" s="48">
        <v>12</v>
      </c>
    </row>
    <row r="14" spans="1:7" ht="20.100000000000001" customHeight="1">
      <c r="A14" s="268" t="s">
        <v>1149</v>
      </c>
      <c r="B14" s="52">
        <v>10</v>
      </c>
      <c r="C14" s="52">
        <v>10</v>
      </c>
      <c r="D14" s="48">
        <v>14</v>
      </c>
    </row>
    <row r="15" spans="1:7" ht="20.100000000000001" customHeight="1">
      <c r="A15" s="268" t="s">
        <v>562</v>
      </c>
      <c r="B15" s="52">
        <v>13</v>
      </c>
      <c r="C15" s="52">
        <v>13</v>
      </c>
      <c r="D15" s="48" t="s">
        <v>570</v>
      </c>
    </row>
    <row r="16" spans="1:7" ht="20.100000000000001" customHeight="1">
      <c r="A16" s="268" t="s">
        <v>549</v>
      </c>
      <c r="B16" s="52">
        <v>14</v>
      </c>
      <c r="C16" s="52">
        <v>14</v>
      </c>
      <c r="D16" s="48">
        <v>16</v>
      </c>
    </row>
    <row r="17" spans="1:4" ht="20.100000000000001" customHeight="1">
      <c r="A17" s="268" t="s">
        <v>550</v>
      </c>
      <c r="B17" s="52">
        <v>10</v>
      </c>
      <c r="C17" s="52">
        <v>10</v>
      </c>
      <c r="D17" s="48">
        <v>16</v>
      </c>
    </row>
    <row r="18" spans="1:4" ht="20.100000000000001" customHeight="1">
      <c r="A18" s="268" t="s">
        <v>563</v>
      </c>
      <c r="B18" s="52">
        <v>2</v>
      </c>
      <c r="C18" s="52">
        <v>2</v>
      </c>
      <c r="D18" s="48" t="s">
        <v>570</v>
      </c>
    </row>
    <row r="19" spans="1:4" ht="20.100000000000001" customHeight="1">
      <c r="A19" s="351" t="s">
        <v>765</v>
      </c>
      <c r="B19" s="227">
        <v>3</v>
      </c>
      <c r="C19" s="227">
        <v>3</v>
      </c>
      <c r="D19" s="216" t="s">
        <v>570</v>
      </c>
    </row>
    <row r="20" spans="1:4" ht="20.100000000000001" customHeight="1">
      <c r="A20" s="266" t="s">
        <v>15</v>
      </c>
      <c r="B20" s="228">
        <f>SUM(B21:B24)</f>
        <v>13</v>
      </c>
      <c r="C20" s="228">
        <f>SUM(C21:C24)</f>
        <v>13</v>
      </c>
      <c r="D20" s="241">
        <f>SUM(D21:D24)</f>
        <v>22</v>
      </c>
    </row>
    <row r="21" spans="1:4" ht="20.100000000000001" customHeight="1">
      <c r="A21" s="268" t="s">
        <v>552</v>
      </c>
      <c r="B21" s="52">
        <v>4</v>
      </c>
      <c r="C21" s="52">
        <v>4</v>
      </c>
      <c r="D21" s="48">
        <v>12</v>
      </c>
    </row>
    <row r="22" spans="1:4" ht="20.100000000000001" customHeight="1">
      <c r="A22" s="268" t="s">
        <v>565</v>
      </c>
      <c r="B22" s="52">
        <v>1</v>
      </c>
      <c r="C22" s="52">
        <v>1</v>
      </c>
      <c r="D22" s="48" t="s">
        <v>570</v>
      </c>
    </row>
    <row r="23" spans="1:4" ht="20.100000000000001" customHeight="1">
      <c r="A23" s="268" t="s">
        <v>553</v>
      </c>
      <c r="B23" s="52">
        <v>5</v>
      </c>
      <c r="C23" s="52">
        <v>5</v>
      </c>
      <c r="D23" s="48">
        <v>5</v>
      </c>
    </row>
    <row r="24" spans="1:4" ht="20.100000000000001" customHeight="1">
      <c r="A24" s="268" t="s">
        <v>554</v>
      </c>
      <c r="B24" s="52">
        <v>3</v>
      </c>
      <c r="C24" s="52">
        <v>3</v>
      </c>
      <c r="D24" s="48">
        <v>5</v>
      </c>
    </row>
    <row r="25" spans="1:4" ht="20.100000000000001" customHeight="1">
      <c r="A25" s="266" t="s">
        <v>337</v>
      </c>
      <c r="B25" s="228">
        <f>SUM(B26:B32)</f>
        <v>37</v>
      </c>
      <c r="C25" s="228">
        <f>SUM(C26:C32)</f>
        <v>37</v>
      </c>
      <c r="D25" s="241">
        <f>SUM(D26:D32)</f>
        <v>66</v>
      </c>
    </row>
    <row r="26" spans="1:4" ht="20.100000000000001" customHeight="1">
      <c r="A26" s="268" t="s">
        <v>555</v>
      </c>
      <c r="B26" s="52">
        <v>7</v>
      </c>
      <c r="C26" s="52">
        <v>7</v>
      </c>
      <c r="D26" s="48">
        <v>11</v>
      </c>
    </row>
    <row r="27" spans="1:4" ht="20.100000000000001" customHeight="1">
      <c r="A27" s="268" t="s">
        <v>557</v>
      </c>
      <c r="B27" s="52">
        <v>11</v>
      </c>
      <c r="C27" s="52">
        <v>11</v>
      </c>
      <c r="D27" s="48">
        <v>12</v>
      </c>
    </row>
    <row r="28" spans="1:4" ht="20.100000000000001" customHeight="1">
      <c r="A28" s="268" t="s">
        <v>560</v>
      </c>
      <c r="B28" s="52">
        <v>5</v>
      </c>
      <c r="C28" s="52">
        <v>5</v>
      </c>
      <c r="D28" s="48">
        <v>10</v>
      </c>
    </row>
    <row r="29" spans="1:4" ht="20.100000000000001" customHeight="1">
      <c r="A29" s="268" t="s">
        <v>566</v>
      </c>
      <c r="B29" s="52">
        <v>2</v>
      </c>
      <c r="C29" s="52">
        <v>2</v>
      </c>
      <c r="D29" s="48">
        <v>11</v>
      </c>
    </row>
    <row r="30" spans="1:4" ht="20.100000000000001" customHeight="1">
      <c r="A30" s="268" t="s">
        <v>567</v>
      </c>
      <c r="B30" s="52">
        <v>4</v>
      </c>
      <c r="C30" s="52">
        <v>4</v>
      </c>
      <c r="D30" s="48">
        <v>11</v>
      </c>
    </row>
    <row r="31" spans="1:4" ht="20.100000000000001" customHeight="1">
      <c r="A31" s="268" t="s">
        <v>568</v>
      </c>
      <c r="B31" s="52">
        <v>2</v>
      </c>
      <c r="C31" s="52">
        <v>2</v>
      </c>
      <c r="D31" s="48" t="s">
        <v>570</v>
      </c>
    </row>
    <row r="32" spans="1:4" ht="20.100000000000001" customHeight="1">
      <c r="A32" s="270" t="s">
        <v>569</v>
      </c>
      <c r="B32" s="155">
        <v>6</v>
      </c>
      <c r="C32" s="155">
        <v>6</v>
      </c>
      <c r="D32" s="43">
        <v>11</v>
      </c>
    </row>
    <row r="33" spans="1:4" ht="12.4" customHeight="1">
      <c r="A33" s="1582" t="s">
        <v>1570</v>
      </c>
      <c r="B33" s="905" t="s">
        <v>960</v>
      </c>
      <c r="C33" s="1580" t="str">
        <f>CONCATENATE("1) District Library Officer, ",District!A1)</f>
        <v>1) District Library Officer, Jalpaiguri</v>
      </c>
      <c r="D33" s="1580"/>
    </row>
    <row r="34" spans="1:4" ht="12.4" customHeight="1">
      <c r="A34" s="1583"/>
      <c r="B34" s="908"/>
      <c r="C34" s="916" t="s">
        <v>1108</v>
      </c>
      <c r="D34" s="916"/>
    </row>
    <row r="35" spans="1:4" ht="13.5" customHeight="1">
      <c r="B35" s="877"/>
      <c r="C35" s="877"/>
      <c r="D35" s="877"/>
    </row>
    <row r="36" spans="1:4" ht="13.5" customHeight="1">
      <c r="A36" s="1113"/>
      <c r="B36" s="831"/>
      <c r="C36" s="831"/>
      <c r="D36" s="831"/>
    </row>
    <row r="37" spans="1:4" ht="13.5" customHeight="1">
      <c r="A37" s="831"/>
      <c r="B37" s="831"/>
      <c r="C37" s="831"/>
      <c r="D37" s="831"/>
    </row>
    <row r="38" spans="1:4" ht="13.5" customHeight="1"/>
    <row r="39" spans="1:4" ht="12.75" customHeight="1"/>
    <row r="40" spans="1:4" ht="12.75" customHeight="1"/>
    <row r="41" spans="1:4" ht="12.75" customHeight="1"/>
    <row r="42" spans="1:4" ht="12.75" customHeight="1"/>
    <row r="43" spans="1:4" ht="12.75" customHeight="1"/>
  </sheetData>
  <mergeCells count="5">
    <mergeCell ref="A1:D1"/>
    <mergeCell ref="A2:D2"/>
    <mergeCell ref="C33:D33"/>
    <mergeCell ref="B11:D11"/>
    <mergeCell ref="A33:A34"/>
  </mergeCells>
  <phoneticPr fontId="0" type="noConversion"/>
  <printOptions horizontalCentered="1"/>
  <pageMargins left="0.1" right="0.1" top="0.5" bottom="0.1" header="0.25" footer="0.1"/>
  <pageSetup paperSize="9" orientation="portrait" blackAndWhite="1" r:id="rId1"/>
  <headerFooter alignWithMargins="0"/>
</worksheet>
</file>

<file path=xl/worksheets/sheet38.xml><?xml version="1.0" encoding="utf-8"?>
<worksheet xmlns="http://schemas.openxmlformats.org/spreadsheetml/2006/main" xmlns:r="http://schemas.openxmlformats.org/officeDocument/2006/relationships">
  <sheetPr codeName="Sheet36"/>
  <dimension ref="A1:G52"/>
  <sheetViews>
    <sheetView topLeftCell="A34" workbookViewId="0">
      <selection activeCell="A32" sqref="A32:B34"/>
    </sheetView>
  </sheetViews>
  <sheetFormatPr defaultRowHeight="12.4" customHeight="1"/>
  <cols>
    <col min="1" max="1" width="21.85546875" style="359" customWidth="1"/>
    <col min="2" max="7" width="11.5703125" style="359" customWidth="1"/>
    <col min="8" max="16384" width="9.140625" style="359"/>
  </cols>
  <sheetData>
    <row r="1" spans="1:7" ht="15" customHeight="1">
      <c r="A1" s="1286" t="s">
        <v>422</v>
      </c>
      <c r="B1" s="1286"/>
      <c r="C1" s="1286"/>
      <c r="D1" s="1286"/>
      <c r="E1" s="1286"/>
      <c r="F1" s="1286"/>
      <c r="G1" s="1286"/>
    </row>
    <row r="2" spans="1:7" ht="15" customHeight="1">
      <c r="A2" s="1437" t="s">
        <v>1102</v>
      </c>
      <c r="B2" s="1437"/>
      <c r="C2" s="1437"/>
      <c r="D2" s="1437"/>
      <c r="E2" s="1437"/>
      <c r="F2" s="1437"/>
      <c r="G2" s="1437"/>
    </row>
    <row r="3" spans="1:7" ht="25.5" customHeight="1">
      <c r="A3" s="373" t="s">
        <v>98</v>
      </c>
      <c r="B3" s="1442" t="s">
        <v>1497</v>
      </c>
      <c r="C3" s="1443"/>
      <c r="D3" s="1596" t="s">
        <v>234</v>
      </c>
      <c r="E3" s="1596"/>
      <c r="F3" s="1442" t="s">
        <v>977</v>
      </c>
      <c r="G3" s="1443"/>
    </row>
    <row r="4" spans="1:7" ht="13.5" customHeight="1">
      <c r="A4" s="57" t="s">
        <v>278</v>
      </c>
      <c r="B4" s="1424" t="s">
        <v>279</v>
      </c>
      <c r="C4" s="1424"/>
      <c r="D4" s="1385" t="s">
        <v>280</v>
      </c>
      <c r="E4" s="1386"/>
      <c r="F4" s="1385" t="s">
        <v>281</v>
      </c>
      <c r="G4" s="1386"/>
    </row>
    <row r="5" spans="1:7" ht="14.25" customHeight="1">
      <c r="A5" s="91" t="s">
        <v>1110</v>
      </c>
      <c r="B5" s="1594">
        <v>22</v>
      </c>
      <c r="C5" s="1595"/>
      <c r="D5" s="1586">
        <v>17223</v>
      </c>
      <c r="E5" s="1587"/>
      <c r="F5" s="1586">
        <v>4060300</v>
      </c>
      <c r="G5" s="1587"/>
    </row>
    <row r="6" spans="1:7" ht="14.25" customHeight="1">
      <c r="A6" s="668" t="s">
        <v>1111</v>
      </c>
      <c r="B6" s="1586">
        <v>22</v>
      </c>
      <c r="C6" s="1587"/>
      <c r="D6" s="1586">
        <v>17223</v>
      </c>
      <c r="E6" s="1587"/>
      <c r="F6" s="1586">
        <v>8613780</v>
      </c>
      <c r="G6" s="1587"/>
    </row>
    <row r="7" spans="1:7" ht="14.25" customHeight="1">
      <c r="A7" s="668" t="s">
        <v>641</v>
      </c>
      <c r="B7" s="1586">
        <v>22</v>
      </c>
      <c r="C7" s="1587"/>
      <c r="D7" s="1586">
        <v>17223</v>
      </c>
      <c r="E7" s="1587"/>
      <c r="F7" s="1586">
        <v>8902494</v>
      </c>
      <c r="G7" s="1587"/>
    </row>
    <row r="8" spans="1:7" ht="14.25" customHeight="1">
      <c r="A8" s="668" t="s">
        <v>909</v>
      </c>
      <c r="B8" s="1586">
        <v>22</v>
      </c>
      <c r="C8" s="1587"/>
      <c r="D8" s="1586">
        <v>17223</v>
      </c>
      <c r="E8" s="1587"/>
      <c r="F8" s="1586">
        <v>8620334</v>
      </c>
      <c r="G8" s="1587"/>
    </row>
    <row r="9" spans="1:7" ht="14.25" customHeight="1">
      <c r="A9" s="668" t="s">
        <v>895</v>
      </c>
      <c r="B9" s="1447">
        <f>SUM(B11,B19,B24)</f>
        <v>23</v>
      </c>
      <c r="C9" s="1448"/>
      <c r="D9" s="1447">
        <f>SUM(D11,D19,D24)</f>
        <v>18185</v>
      </c>
      <c r="E9" s="1597"/>
      <c r="F9" s="1447">
        <f>SUM(F11,F19,F24)</f>
        <v>8683099</v>
      </c>
      <c r="G9" s="1448"/>
    </row>
    <row r="10" spans="1:7" ht="26.25" customHeight="1">
      <c r="A10" s="1193" t="s">
        <v>850</v>
      </c>
      <c r="B10" s="1305" t="str">
        <f>"Year : " &amp; A9</f>
        <v>Year : 2013-14</v>
      </c>
      <c r="C10" s="1515"/>
      <c r="D10" s="1515"/>
      <c r="E10" s="1515"/>
      <c r="F10" s="1581"/>
      <c r="G10" s="1598"/>
    </row>
    <row r="11" spans="1:7" ht="14.25" customHeight="1">
      <c r="A11" s="266" t="s">
        <v>11</v>
      </c>
      <c r="B11" s="1592">
        <f>SUM(B12:B18)</f>
        <v>9</v>
      </c>
      <c r="C11" s="1593"/>
      <c r="D11" s="1602">
        <f>SUM(D12:D18)</f>
        <v>9179</v>
      </c>
      <c r="E11" s="1602"/>
      <c r="F11" s="1377">
        <f>SUM(F12:F18)</f>
        <v>6864829</v>
      </c>
      <c r="G11" s="1378"/>
    </row>
    <row r="12" spans="1:7" ht="14.25" customHeight="1">
      <c r="A12" s="268" t="s">
        <v>561</v>
      </c>
      <c r="B12" s="1586" t="s">
        <v>570</v>
      </c>
      <c r="C12" s="1587"/>
      <c r="D12" s="1586" t="s">
        <v>570</v>
      </c>
      <c r="E12" s="1587"/>
      <c r="F12" s="1586" t="s">
        <v>570</v>
      </c>
      <c r="G12" s="1587"/>
    </row>
    <row r="13" spans="1:7" ht="14.25" customHeight="1">
      <c r="A13" s="268" t="s">
        <v>1149</v>
      </c>
      <c r="B13" s="1586" t="s">
        <v>570</v>
      </c>
      <c r="C13" s="1587"/>
      <c r="D13" s="1586" t="s">
        <v>570</v>
      </c>
      <c r="E13" s="1587"/>
      <c r="F13" s="1586" t="s">
        <v>570</v>
      </c>
      <c r="G13" s="1587"/>
    </row>
    <row r="14" spans="1:7" ht="14.25" customHeight="1">
      <c r="A14" s="268" t="s">
        <v>562</v>
      </c>
      <c r="B14" s="1586">
        <v>4</v>
      </c>
      <c r="C14" s="1587"/>
      <c r="D14" s="1591">
        <v>3767</v>
      </c>
      <c r="E14" s="1591"/>
      <c r="F14" s="1586">
        <v>583368</v>
      </c>
      <c r="G14" s="1587"/>
    </row>
    <row r="15" spans="1:7" ht="14.25" customHeight="1">
      <c r="A15" s="268" t="s">
        <v>549</v>
      </c>
      <c r="B15" s="1586">
        <v>1</v>
      </c>
      <c r="C15" s="1587"/>
      <c r="D15" s="1591">
        <v>999</v>
      </c>
      <c r="E15" s="1591"/>
      <c r="F15" s="1586">
        <v>77363</v>
      </c>
      <c r="G15" s="1587"/>
    </row>
    <row r="16" spans="1:7" ht="14.25" customHeight="1">
      <c r="A16" s="268" t="s">
        <v>550</v>
      </c>
      <c r="B16" s="1586" t="s">
        <v>570</v>
      </c>
      <c r="C16" s="1587"/>
      <c r="D16" s="1586" t="s">
        <v>570</v>
      </c>
      <c r="E16" s="1587"/>
      <c r="F16" s="1591" t="s">
        <v>570</v>
      </c>
      <c r="G16" s="1587"/>
    </row>
    <row r="17" spans="1:7" ht="14.25" customHeight="1">
      <c r="A17" s="268" t="s">
        <v>563</v>
      </c>
      <c r="B17" s="1586">
        <v>1</v>
      </c>
      <c r="C17" s="1587"/>
      <c r="D17" s="1591">
        <v>496</v>
      </c>
      <c r="E17" s="1591"/>
      <c r="F17" s="1586">
        <v>59439</v>
      </c>
      <c r="G17" s="1587"/>
    </row>
    <row r="18" spans="1:7" ht="14.25" customHeight="1">
      <c r="A18" s="260" t="s">
        <v>765</v>
      </c>
      <c r="B18" s="1586">
        <v>3</v>
      </c>
      <c r="C18" s="1587"/>
      <c r="D18" s="1591">
        <v>3917</v>
      </c>
      <c r="E18" s="1591"/>
      <c r="F18" s="1324">
        <v>6144659</v>
      </c>
      <c r="G18" s="1316"/>
    </row>
    <row r="19" spans="1:7" ht="14.25" customHeight="1">
      <c r="A19" s="352" t="s">
        <v>15</v>
      </c>
      <c r="B19" s="1377">
        <f>SUM(B20:B23)</f>
        <v>3</v>
      </c>
      <c r="C19" s="1378"/>
      <c r="D19" s="1602">
        <f>SUM(D21:D23)</f>
        <v>2233</v>
      </c>
      <c r="E19" s="1602"/>
      <c r="F19" s="1377">
        <f>SUM(F20:F23)</f>
        <v>562014</v>
      </c>
      <c r="G19" s="1378"/>
    </row>
    <row r="20" spans="1:7" ht="14.25" customHeight="1">
      <c r="A20" s="268" t="s">
        <v>552</v>
      </c>
      <c r="B20" s="1600" t="s">
        <v>570</v>
      </c>
      <c r="C20" s="1601"/>
      <c r="D20" s="1600" t="s">
        <v>570</v>
      </c>
      <c r="E20" s="1601"/>
      <c r="F20" s="1591" t="s">
        <v>570</v>
      </c>
      <c r="G20" s="1587"/>
    </row>
    <row r="21" spans="1:7" ht="14.25" customHeight="1">
      <c r="A21" s="268" t="s">
        <v>565</v>
      </c>
      <c r="B21" s="1586">
        <v>2</v>
      </c>
      <c r="C21" s="1587"/>
      <c r="D21" s="1586">
        <v>1670</v>
      </c>
      <c r="E21" s="1587"/>
      <c r="F21" s="1586">
        <v>523002</v>
      </c>
      <c r="G21" s="1587"/>
    </row>
    <row r="22" spans="1:7" ht="14.25" customHeight="1">
      <c r="A22" s="268" t="s">
        <v>553</v>
      </c>
      <c r="B22" s="1586" t="s">
        <v>570</v>
      </c>
      <c r="C22" s="1587"/>
      <c r="D22" s="1586" t="s">
        <v>570</v>
      </c>
      <c r="E22" s="1587"/>
      <c r="F22" s="1591" t="s">
        <v>570</v>
      </c>
      <c r="G22" s="1587"/>
    </row>
    <row r="23" spans="1:7" ht="14.25" customHeight="1">
      <c r="A23" s="268" t="s">
        <v>554</v>
      </c>
      <c r="B23" s="1586">
        <v>1</v>
      </c>
      <c r="C23" s="1587"/>
      <c r="D23" s="1586">
        <v>563</v>
      </c>
      <c r="E23" s="1587"/>
      <c r="F23" s="1324">
        <v>39012</v>
      </c>
      <c r="G23" s="1316"/>
    </row>
    <row r="24" spans="1:7" ht="27.75" customHeight="1">
      <c r="A24" s="695" t="s">
        <v>338</v>
      </c>
      <c r="B24" s="1377">
        <f>SUM(B25:B31)</f>
        <v>11</v>
      </c>
      <c r="C24" s="1378"/>
      <c r="D24" s="1377">
        <f>SUM(D25:D31)</f>
        <v>6773</v>
      </c>
      <c r="E24" s="1378"/>
      <c r="F24" s="1377">
        <f>SUM(F25:F31)</f>
        <v>1256256</v>
      </c>
      <c r="G24" s="1378"/>
    </row>
    <row r="25" spans="1:7" ht="14.25" customHeight="1">
      <c r="A25" s="268" t="s">
        <v>555</v>
      </c>
      <c r="B25" s="1586">
        <v>3</v>
      </c>
      <c r="C25" s="1587"/>
      <c r="D25" s="1591">
        <v>1437</v>
      </c>
      <c r="E25" s="1591"/>
      <c r="F25" s="1586">
        <v>109100</v>
      </c>
      <c r="G25" s="1587"/>
    </row>
    <row r="26" spans="1:7" ht="14.25" customHeight="1">
      <c r="A26" s="268" t="s">
        <v>557</v>
      </c>
      <c r="B26" s="302">
        <v>2</v>
      </c>
      <c r="C26" s="1259" t="s">
        <v>278</v>
      </c>
      <c r="D26" s="1591">
        <v>908</v>
      </c>
      <c r="E26" s="1591"/>
      <c r="F26" s="1586">
        <v>64849</v>
      </c>
      <c r="G26" s="1587"/>
    </row>
    <row r="27" spans="1:7" ht="14.25" customHeight="1">
      <c r="A27" s="268" t="s">
        <v>560</v>
      </c>
      <c r="B27" s="1586">
        <v>1</v>
      </c>
      <c r="C27" s="1587"/>
      <c r="D27" s="1591">
        <v>642</v>
      </c>
      <c r="E27" s="1591"/>
      <c r="F27" s="1586">
        <v>500430</v>
      </c>
      <c r="G27" s="1587"/>
    </row>
    <row r="28" spans="1:7" ht="14.25" customHeight="1">
      <c r="A28" s="268" t="s">
        <v>566</v>
      </c>
      <c r="B28" s="1586">
        <v>2</v>
      </c>
      <c r="C28" s="1587"/>
      <c r="D28" s="1591">
        <v>1851</v>
      </c>
      <c r="E28" s="1591"/>
      <c r="F28" s="1586">
        <v>497577</v>
      </c>
      <c r="G28" s="1587"/>
    </row>
    <row r="29" spans="1:7" ht="14.25" customHeight="1">
      <c r="A29" s="268" t="s">
        <v>567</v>
      </c>
      <c r="B29" s="302">
        <v>1</v>
      </c>
      <c r="C29" s="1259" t="s">
        <v>278</v>
      </c>
      <c r="D29" s="1591">
        <v>437</v>
      </c>
      <c r="E29" s="1591"/>
      <c r="F29" s="1586" t="s">
        <v>570</v>
      </c>
      <c r="G29" s="1587"/>
    </row>
    <row r="30" spans="1:7" ht="14.25" customHeight="1">
      <c r="A30" s="284" t="s">
        <v>568</v>
      </c>
      <c r="B30" s="1586">
        <v>2</v>
      </c>
      <c r="C30" s="1591"/>
      <c r="D30" s="1586">
        <v>1498</v>
      </c>
      <c r="E30" s="1591"/>
      <c r="F30" s="1586">
        <v>84300</v>
      </c>
      <c r="G30" s="1587"/>
    </row>
    <row r="31" spans="1:7" ht="14.25" customHeight="1">
      <c r="A31" s="270" t="s">
        <v>569</v>
      </c>
      <c r="B31" s="1589" t="s">
        <v>570</v>
      </c>
      <c r="C31" s="1590"/>
      <c r="D31" s="1588" t="s">
        <v>570</v>
      </c>
      <c r="E31" s="1588"/>
      <c r="F31" s="1589" t="s">
        <v>570</v>
      </c>
      <c r="G31" s="1590"/>
    </row>
    <row r="32" spans="1:7" ht="11.25" customHeight="1">
      <c r="A32" s="1584" t="s">
        <v>1560</v>
      </c>
      <c r="B32" s="1584"/>
      <c r="C32"/>
      <c r="D32" s="451"/>
      <c r="F32" s="1191"/>
      <c r="G32" s="892" t="str">
        <f>CONCATENATE("Source : Agricultural Income Tax Officer, ",District!A1)</f>
        <v>Source : Agricultural Income Tax Officer, Jalpaiguri</v>
      </c>
    </row>
    <row r="33" spans="1:7" ht="11.25" customHeight="1">
      <c r="A33" s="1585"/>
      <c r="B33" s="1585"/>
      <c r="C33"/>
      <c r="D33" s="451"/>
      <c r="F33" s="1191"/>
      <c r="G33" s="892"/>
    </row>
    <row r="34" spans="1:7" ht="14.25" customHeight="1">
      <c r="A34" s="1585"/>
      <c r="B34" s="1585"/>
    </row>
    <row r="35" spans="1:7" ht="12.4" customHeight="1">
      <c r="A35" s="1361" t="s">
        <v>423</v>
      </c>
      <c r="B35" s="1361"/>
      <c r="C35" s="1361"/>
      <c r="D35" s="1361"/>
      <c r="E35" s="1361"/>
      <c r="F35" s="1361"/>
      <c r="G35" s="1361"/>
    </row>
    <row r="36" spans="1:7" ht="16.5" customHeight="1">
      <c r="A36" s="1437" t="str">
        <f>CONCATENATE("Newspapers and Periodicals published in the district of ",District!A1)</f>
        <v>Newspapers and Periodicals published in the district of Jalpaiguri</v>
      </c>
      <c r="B36" s="1437"/>
      <c r="C36" s="1437"/>
      <c r="D36" s="1437"/>
      <c r="E36" s="1599"/>
      <c r="F36" s="1599"/>
      <c r="G36" s="1599"/>
    </row>
    <row r="37" spans="1:7" ht="12" customHeight="1">
      <c r="G37" s="1043" t="s">
        <v>312</v>
      </c>
    </row>
    <row r="38" spans="1:7" ht="30" customHeight="1">
      <c r="A38" s="373" t="s">
        <v>1233</v>
      </c>
      <c r="B38" s="406" t="s">
        <v>899</v>
      </c>
      <c r="C38" s="637" t="s">
        <v>900</v>
      </c>
      <c r="D38" s="637" t="s">
        <v>901</v>
      </c>
      <c r="E38" s="637" t="s">
        <v>902</v>
      </c>
      <c r="F38" s="637" t="s">
        <v>545</v>
      </c>
      <c r="G38" s="247" t="s">
        <v>300</v>
      </c>
    </row>
    <row r="39" spans="1:7" ht="15" customHeight="1">
      <c r="A39" s="137" t="s">
        <v>278</v>
      </c>
      <c r="B39" s="57" t="s">
        <v>279</v>
      </c>
      <c r="C39" s="87" t="s">
        <v>280</v>
      </c>
      <c r="D39" s="57" t="s">
        <v>281</v>
      </c>
      <c r="E39" s="59" t="s">
        <v>282</v>
      </c>
      <c r="F39" s="93" t="s">
        <v>283</v>
      </c>
      <c r="G39" s="59" t="s">
        <v>284</v>
      </c>
    </row>
    <row r="40" spans="1:7" ht="18" customHeight="1">
      <c r="A40" s="52">
        <v>2010</v>
      </c>
      <c r="B40" s="469" t="s">
        <v>570</v>
      </c>
      <c r="C40" s="148">
        <v>6</v>
      </c>
      <c r="D40" s="291">
        <v>5</v>
      </c>
      <c r="E40" s="428">
        <v>3</v>
      </c>
      <c r="F40" s="148">
        <v>2</v>
      </c>
      <c r="G40" s="227">
        <f>SUM(B40:F40)</f>
        <v>16</v>
      </c>
    </row>
    <row r="41" spans="1:7" ht="18" customHeight="1">
      <c r="A41" s="554">
        <v>2011</v>
      </c>
      <c r="B41" s="756" t="s">
        <v>570</v>
      </c>
      <c r="C41" s="413">
        <v>5</v>
      </c>
      <c r="D41" s="548">
        <v>4</v>
      </c>
      <c r="E41" s="52">
        <v>2</v>
      </c>
      <c r="F41" s="413">
        <v>1</v>
      </c>
      <c r="G41" s="1222">
        <f t="shared" ref="G41:G44" si="0">SUM(B41:F41)</f>
        <v>12</v>
      </c>
    </row>
    <row r="42" spans="1:7" ht="18" customHeight="1">
      <c r="A42" s="554">
        <v>2012</v>
      </c>
      <c r="B42" s="756" t="s">
        <v>570</v>
      </c>
      <c r="C42" s="413">
        <v>5</v>
      </c>
      <c r="D42" s="548">
        <v>2</v>
      </c>
      <c r="E42" s="227">
        <v>2</v>
      </c>
      <c r="F42" s="413">
        <v>2</v>
      </c>
      <c r="G42" s="1222">
        <f t="shared" si="0"/>
        <v>11</v>
      </c>
    </row>
    <row r="43" spans="1:7" ht="18" customHeight="1">
      <c r="A43" s="614">
        <v>2013</v>
      </c>
      <c r="B43" s="756" t="s">
        <v>570</v>
      </c>
      <c r="C43" s="413">
        <v>5</v>
      </c>
      <c r="D43" s="555">
        <v>2</v>
      </c>
      <c r="E43" s="227">
        <v>1</v>
      </c>
      <c r="F43" s="413">
        <v>1</v>
      </c>
      <c r="G43" s="1222">
        <f t="shared" si="0"/>
        <v>9</v>
      </c>
    </row>
    <row r="44" spans="1:7" ht="18" customHeight="1">
      <c r="A44" s="859">
        <v>2014</v>
      </c>
      <c r="B44" s="274" t="str">
        <f>IF(SUM(B46:B50)=0,"-",SUM(B46:B50))</f>
        <v>-</v>
      </c>
      <c r="C44" s="274">
        <f>IF(SUM(C46:C50)=0,"-",SUM(C46:C50))</f>
        <v>5</v>
      </c>
      <c r="D44" s="274">
        <f>IF(SUM(D46:D50)=0,"-",SUM(D46:D50))</f>
        <v>2</v>
      </c>
      <c r="E44" s="274" t="str">
        <f>IF(SUM(E46:E50)=0,"-",SUM(E46:E50))</f>
        <v>-</v>
      </c>
      <c r="F44" s="274" t="str">
        <f>IF(SUM(F46:F50)=0,"-",SUM(F46:F50))</f>
        <v>-</v>
      </c>
      <c r="G44" s="1222">
        <f t="shared" si="0"/>
        <v>7</v>
      </c>
    </row>
    <row r="45" spans="1:7" ht="18" customHeight="1">
      <c r="A45" s="533" t="s">
        <v>907</v>
      </c>
      <c r="B45" s="1305" t="str">
        <f>"Year : " &amp; A44</f>
        <v>Year : 2014</v>
      </c>
      <c r="C45" s="1515"/>
      <c r="D45" s="1515"/>
      <c r="E45" s="1515"/>
      <c r="F45" s="1515"/>
      <c r="G45" s="1306"/>
    </row>
    <row r="46" spans="1:7" ht="18" customHeight="1">
      <c r="A46" s="91" t="s">
        <v>903</v>
      </c>
      <c r="B46" s="226" t="s">
        <v>570</v>
      </c>
      <c r="C46" s="291">
        <v>5</v>
      </c>
      <c r="D46" s="148">
        <v>2</v>
      </c>
      <c r="E46" s="428" t="s">
        <v>570</v>
      </c>
      <c r="F46" s="147" t="s">
        <v>570</v>
      </c>
      <c r="G46" s="227">
        <f>IF(SUM(B46:F46)=0,"-",SUM(B46:F46))</f>
        <v>7</v>
      </c>
    </row>
    <row r="47" spans="1:7" ht="18" customHeight="1">
      <c r="A47" s="91" t="s">
        <v>904</v>
      </c>
      <c r="B47" s="226" t="s">
        <v>570</v>
      </c>
      <c r="C47" s="226" t="s">
        <v>570</v>
      </c>
      <c r="D47" s="226" t="s">
        <v>570</v>
      </c>
      <c r="E47" s="428" t="s">
        <v>570</v>
      </c>
      <c r="F47" s="428" t="s">
        <v>570</v>
      </c>
      <c r="G47" s="227" t="str">
        <f>IF(SUM(B47:F47)=0,"-",SUM(B47:F47))</f>
        <v>-</v>
      </c>
    </row>
    <row r="48" spans="1:7" ht="18" customHeight="1">
      <c r="A48" s="91" t="s">
        <v>905</v>
      </c>
      <c r="B48" s="226" t="s">
        <v>570</v>
      </c>
      <c r="C48" s="226" t="s">
        <v>570</v>
      </c>
      <c r="D48" s="226" t="s">
        <v>570</v>
      </c>
      <c r="E48" s="428" t="s">
        <v>570</v>
      </c>
      <c r="F48" s="428" t="s">
        <v>570</v>
      </c>
      <c r="G48" s="227" t="str">
        <f>IF(SUM(B48:F48)=0,"-",SUM(B48:F48))</f>
        <v>-</v>
      </c>
    </row>
    <row r="49" spans="1:7" ht="18" customHeight="1">
      <c r="A49" s="91" t="s">
        <v>906</v>
      </c>
      <c r="B49" s="226" t="s">
        <v>570</v>
      </c>
      <c r="C49" s="226" t="s">
        <v>570</v>
      </c>
      <c r="D49" s="226" t="s">
        <v>570</v>
      </c>
      <c r="E49" s="428" t="s">
        <v>570</v>
      </c>
      <c r="F49" s="428" t="s">
        <v>570</v>
      </c>
      <c r="G49" s="227" t="str">
        <f>IF(SUM(B49:F49)=0,"-",SUM(B49:F49))</f>
        <v>-</v>
      </c>
    </row>
    <row r="50" spans="1:7" ht="18" customHeight="1">
      <c r="A50" s="91" t="s">
        <v>545</v>
      </c>
      <c r="B50" s="226" t="s">
        <v>570</v>
      </c>
      <c r="C50" s="226" t="s">
        <v>570</v>
      </c>
      <c r="D50" s="226" t="s">
        <v>570</v>
      </c>
      <c r="E50" s="428" t="s">
        <v>570</v>
      </c>
      <c r="F50" s="428" t="s">
        <v>570</v>
      </c>
      <c r="G50" s="227" t="str">
        <f>IF(SUM(B50:F50)=0,"-",SUM(B50:F50))</f>
        <v>-</v>
      </c>
    </row>
    <row r="51" spans="1:7" ht="15.75" customHeight="1">
      <c r="A51" s="230" t="s">
        <v>300</v>
      </c>
      <c r="B51" s="518" t="str">
        <f>IF(SUM(B46:B50)=0,"-",SUM(B46:B50))</f>
        <v>-</v>
      </c>
      <c r="C51" s="518">
        <f>IF(SUM(C46:C50)=0,"-",SUM(C46:C50))</f>
        <v>5</v>
      </c>
      <c r="D51" s="518">
        <f>IF(SUM(D46:D50)=0,"-",SUM(D46:D50))</f>
        <v>2</v>
      </c>
      <c r="E51" s="518" t="str">
        <f>IF(SUM(E46:E50)=0,"-",SUM(E46:E50))</f>
        <v>-</v>
      </c>
      <c r="F51" s="518" t="str">
        <f>IF(SUM(F46:F50)=0,"-",SUM(F46:F50))</f>
        <v>-</v>
      </c>
      <c r="G51" s="230">
        <f>SUM(G46:G50)</f>
        <v>7</v>
      </c>
    </row>
    <row r="52" spans="1:7" ht="12.4" customHeight="1">
      <c r="A52" s="448"/>
      <c r="C52" s="1215"/>
      <c r="D52" s="1215"/>
      <c r="E52" s="1215"/>
      <c r="F52" s="1215"/>
      <c r="G52" s="907" t="str">
        <f>CONCATENATE("Source : District Information &amp; Cultural Officer, ",District!A1)</f>
        <v>Source : District Information &amp; Cultural Officer, Jalpaiguri</v>
      </c>
    </row>
  </sheetData>
  <mergeCells count="89">
    <mergeCell ref="D12:E12"/>
    <mergeCell ref="D11:E11"/>
    <mergeCell ref="D13:E13"/>
    <mergeCell ref="F25:G25"/>
    <mergeCell ref="D17:E17"/>
    <mergeCell ref="F13:G13"/>
    <mergeCell ref="F14:G14"/>
    <mergeCell ref="D25:E25"/>
    <mergeCell ref="F24:G24"/>
    <mergeCell ref="D22:E22"/>
    <mergeCell ref="D19:E19"/>
    <mergeCell ref="D20:E20"/>
    <mergeCell ref="F20:G20"/>
    <mergeCell ref="B45:G45"/>
    <mergeCell ref="F17:G17"/>
    <mergeCell ref="F19:G19"/>
    <mergeCell ref="A36:G36"/>
    <mergeCell ref="B21:C21"/>
    <mergeCell ref="F30:G30"/>
    <mergeCell ref="F23:G23"/>
    <mergeCell ref="F29:G29"/>
    <mergeCell ref="F22:G22"/>
    <mergeCell ref="F27:G27"/>
    <mergeCell ref="F26:G26"/>
    <mergeCell ref="B23:C23"/>
    <mergeCell ref="B22:C22"/>
    <mergeCell ref="B19:C19"/>
    <mergeCell ref="B20:C20"/>
    <mergeCell ref="B24:C24"/>
    <mergeCell ref="A1:G1"/>
    <mergeCell ref="A35:G35"/>
    <mergeCell ref="B7:C7"/>
    <mergeCell ref="D7:E7"/>
    <mergeCell ref="F6:G6"/>
    <mergeCell ref="F12:G12"/>
    <mergeCell ref="B8:C8"/>
    <mergeCell ref="D5:E5"/>
    <mergeCell ref="D6:E6"/>
    <mergeCell ref="F21:G21"/>
    <mergeCell ref="D16:E16"/>
    <mergeCell ref="F31:G31"/>
    <mergeCell ref="F11:G11"/>
    <mergeCell ref="F16:G16"/>
    <mergeCell ref="F28:G28"/>
    <mergeCell ref="F3:G3"/>
    <mergeCell ref="D4:E4"/>
    <mergeCell ref="D9:E9"/>
    <mergeCell ref="F18:G18"/>
    <mergeCell ref="F4:G4"/>
    <mergeCell ref="F7:G7"/>
    <mergeCell ref="B10:G10"/>
    <mergeCell ref="B16:C16"/>
    <mergeCell ref="B17:C17"/>
    <mergeCell ref="B18:C18"/>
    <mergeCell ref="F5:G5"/>
    <mergeCell ref="D8:E8"/>
    <mergeCell ref="F8:G8"/>
    <mergeCell ref="F9:G9"/>
    <mergeCell ref="D14:E14"/>
    <mergeCell ref="D15:E15"/>
    <mergeCell ref="F15:G15"/>
    <mergeCell ref="A2:G2"/>
    <mergeCell ref="D18:E18"/>
    <mergeCell ref="D24:E24"/>
    <mergeCell ref="D21:E21"/>
    <mergeCell ref="D23:E23"/>
    <mergeCell ref="B9:C9"/>
    <mergeCell ref="B11:C11"/>
    <mergeCell ref="B3:C3"/>
    <mergeCell ref="B4:C4"/>
    <mergeCell ref="B5:C5"/>
    <mergeCell ref="B6:C6"/>
    <mergeCell ref="B15:C15"/>
    <mergeCell ref="B13:C13"/>
    <mergeCell ref="B12:C12"/>
    <mergeCell ref="B14:C14"/>
    <mergeCell ref="D3:E3"/>
    <mergeCell ref="A32:B34"/>
    <mergeCell ref="B25:C25"/>
    <mergeCell ref="D31:E31"/>
    <mergeCell ref="B31:C31"/>
    <mergeCell ref="B30:C30"/>
    <mergeCell ref="D30:E30"/>
    <mergeCell ref="D29:E29"/>
    <mergeCell ref="D26:E26"/>
    <mergeCell ref="D27:E27"/>
    <mergeCell ref="D28:E28"/>
    <mergeCell ref="B28:C28"/>
    <mergeCell ref="B27:C27"/>
  </mergeCells>
  <phoneticPr fontId="0" type="noConversion"/>
  <printOptions horizontalCentered="1" verticalCentered="1"/>
  <pageMargins left="0.1" right="0.1" top="0.1" bottom="0.1" header="0.14000000000000001" footer="0.1"/>
  <pageSetup paperSize="9" orientation="portrait" blackAndWhite="1" r:id="rId1"/>
  <headerFooter alignWithMargins="0"/>
</worksheet>
</file>

<file path=xl/worksheets/sheet39.xml><?xml version="1.0" encoding="utf-8"?>
<worksheet xmlns="http://schemas.openxmlformats.org/spreadsheetml/2006/main" xmlns:r="http://schemas.openxmlformats.org/officeDocument/2006/relationships">
  <sheetPr codeName="Sheet42"/>
  <dimension ref="A1:Q30"/>
  <sheetViews>
    <sheetView topLeftCell="A10" workbookViewId="0">
      <selection activeCell="P8" sqref="P8"/>
    </sheetView>
  </sheetViews>
  <sheetFormatPr defaultRowHeight="12.75"/>
  <cols>
    <col min="1" max="1" width="13.5703125" customWidth="1"/>
    <col min="2" max="2" width="10.28515625" customWidth="1"/>
    <col min="3" max="3" width="10.5703125" customWidth="1"/>
    <col min="4" max="4" width="8.28515625" customWidth="1"/>
    <col min="5" max="5" width="9.28515625" customWidth="1"/>
    <col min="6" max="6" width="10.7109375" customWidth="1"/>
    <col min="7" max="7" width="12.28515625" customWidth="1"/>
    <col min="8" max="8" width="10" customWidth="1"/>
    <col min="9" max="9" width="12.7109375" customWidth="1"/>
    <col min="11" max="11" width="10.85546875" customWidth="1"/>
    <col min="12" max="13" width="8.7109375" customWidth="1"/>
    <col min="14" max="14" width="9.7109375" customWidth="1"/>
  </cols>
  <sheetData>
    <row r="1" spans="1:14" ht="14.25" customHeight="1">
      <c r="A1" s="1286" t="s">
        <v>424</v>
      </c>
      <c r="B1" s="1286"/>
      <c r="C1" s="1286"/>
      <c r="D1" s="1286"/>
      <c r="E1" s="1286"/>
      <c r="F1" s="1286"/>
      <c r="G1" s="1286"/>
      <c r="H1" s="1286"/>
      <c r="I1" s="1286"/>
      <c r="J1" s="1286"/>
      <c r="K1" s="1286"/>
      <c r="L1" s="1286"/>
      <c r="M1" s="1286"/>
      <c r="N1" s="1286"/>
    </row>
    <row r="2" spans="1:14" ht="14.25" customHeight="1">
      <c r="A2" s="1437" t="str">
        <f>CONCATENATE("Classification of Land Utilisation Statistics in the district of ",District!A1)</f>
        <v>Classification of Land Utilisation Statistics in the district of Jalpaiguri</v>
      </c>
      <c r="B2" s="1437"/>
      <c r="C2" s="1437"/>
      <c r="D2" s="1437"/>
      <c r="E2" s="1437"/>
      <c r="F2" s="1437"/>
      <c r="G2" s="1437"/>
      <c r="H2" s="1437"/>
      <c r="I2" s="1437"/>
      <c r="J2" s="1437"/>
      <c r="K2" s="1437"/>
      <c r="L2" s="1437"/>
      <c r="M2" s="1437"/>
      <c r="N2" s="1437"/>
    </row>
    <row r="3" spans="1:14" ht="15" customHeight="1">
      <c r="A3" s="359"/>
      <c r="B3" s="405"/>
      <c r="C3" s="405"/>
      <c r="D3" s="405"/>
      <c r="E3" s="405"/>
      <c r="F3" s="405"/>
      <c r="G3" s="405"/>
      <c r="H3" s="405"/>
      <c r="I3" s="359"/>
      <c r="J3" s="359"/>
      <c r="K3" s="432"/>
      <c r="L3" s="432"/>
      <c r="M3" s="359"/>
      <c r="N3" s="665" t="s">
        <v>1400</v>
      </c>
    </row>
    <row r="4" spans="1:14" s="12" customFormat="1" ht="57" customHeight="1">
      <c r="A4" s="1293" t="s">
        <v>98</v>
      </c>
      <c r="B4" s="1294"/>
      <c r="C4" s="1379" t="s">
        <v>247</v>
      </c>
      <c r="D4" s="1380"/>
      <c r="E4" s="825" t="s">
        <v>908</v>
      </c>
      <c r="F4" s="373" t="s">
        <v>910</v>
      </c>
      <c r="G4" s="373" t="s">
        <v>911</v>
      </c>
      <c r="H4" s="856" t="s">
        <v>913</v>
      </c>
      <c r="I4" s="879" t="s">
        <v>1500</v>
      </c>
      <c r="J4" s="373" t="s">
        <v>1366</v>
      </c>
      <c r="K4" s="373" t="s">
        <v>832</v>
      </c>
      <c r="L4" s="447" t="s">
        <v>918</v>
      </c>
      <c r="M4" s="1442" t="s">
        <v>896</v>
      </c>
      <c r="N4" s="1443"/>
    </row>
    <row r="5" spans="1:14" s="12" customFormat="1" ht="18" customHeight="1">
      <c r="A5" s="1385" t="s">
        <v>278</v>
      </c>
      <c r="B5" s="1386"/>
      <c r="C5" s="1364" t="s">
        <v>279</v>
      </c>
      <c r="D5" s="1365"/>
      <c r="E5" s="88" t="s">
        <v>280</v>
      </c>
      <c r="F5" s="137" t="s">
        <v>281</v>
      </c>
      <c r="G5" s="137" t="s">
        <v>282</v>
      </c>
      <c r="H5" s="137" t="s">
        <v>283</v>
      </c>
      <c r="I5" s="88" t="s">
        <v>284</v>
      </c>
      <c r="J5" s="137" t="s">
        <v>301</v>
      </c>
      <c r="K5" s="137" t="s">
        <v>302</v>
      </c>
      <c r="L5" s="137" t="s">
        <v>303</v>
      </c>
      <c r="M5" s="1364" t="s">
        <v>304</v>
      </c>
      <c r="N5" s="1365"/>
    </row>
    <row r="6" spans="1:14" ht="21" customHeight="1">
      <c r="A6" s="1611" t="s">
        <v>1110</v>
      </c>
      <c r="B6" s="1612"/>
      <c r="C6" s="1607">
        <f>SUM(E6:N6)</f>
        <v>622.69999999999993</v>
      </c>
      <c r="D6" s="1608"/>
      <c r="E6" s="994">
        <v>179</v>
      </c>
      <c r="F6" s="529">
        <v>87.94</v>
      </c>
      <c r="G6" s="994">
        <v>3.09</v>
      </c>
      <c r="H6" s="1014" t="s">
        <v>570</v>
      </c>
      <c r="I6" s="323">
        <v>5.28</v>
      </c>
      <c r="J6" s="1194">
        <v>0.1</v>
      </c>
      <c r="K6" s="323">
        <v>0.08</v>
      </c>
      <c r="L6" s="529">
        <v>11.44</v>
      </c>
      <c r="M6" s="1613">
        <v>335.77</v>
      </c>
      <c r="N6" s="1614"/>
    </row>
    <row r="7" spans="1:14" ht="21" customHeight="1">
      <c r="A7" s="1609" t="s">
        <v>1111</v>
      </c>
      <c r="B7" s="1610"/>
      <c r="C7" s="1603">
        <f>SUM(E7:N7)</f>
        <v>622.70000000000005</v>
      </c>
      <c r="D7" s="1604"/>
      <c r="E7" s="585">
        <v>179</v>
      </c>
      <c r="F7" s="227">
        <v>90.67</v>
      </c>
      <c r="G7" s="225">
        <v>2.99</v>
      </c>
      <c r="H7" s="425" t="s">
        <v>570</v>
      </c>
      <c r="I7" s="225">
        <v>4.99</v>
      </c>
      <c r="J7" s="438">
        <v>0.1</v>
      </c>
      <c r="K7" s="1164">
        <v>0.1</v>
      </c>
      <c r="L7" s="227">
        <v>10.72</v>
      </c>
      <c r="M7" s="1324">
        <v>334.13</v>
      </c>
      <c r="N7" s="1316"/>
    </row>
    <row r="8" spans="1:14" ht="21" customHeight="1">
      <c r="A8" s="1609" t="s">
        <v>641</v>
      </c>
      <c r="B8" s="1610"/>
      <c r="C8" s="1603">
        <f>SUM(E8:N8)</f>
        <v>622.70000000000005</v>
      </c>
      <c r="D8" s="1604"/>
      <c r="E8" s="585">
        <v>179</v>
      </c>
      <c r="F8" s="227">
        <v>90.72</v>
      </c>
      <c r="G8" s="585">
        <v>3.13</v>
      </c>
      <c r="H8" s="425" t="s">
        <v>570</v>
      </c>
      <c r="I8" s="225">
        <v>5.03</v>
      </c>
      <c r="J8" s="438">
        <v>0.12</v>
      </c>
      <c r="K8" s="585">
        <v>0.13</v>
      </c>
      <c r="L8" s="227">
        <v>9.57</v>
      </c>
      <c r="M8" s="1605">
        <v>335</v>
      </c>
      <c r="N8" s="1606"/>
    </row>
    <row r="9" spans="1:14" ht="21" customHeight="1">
      <c r="A9" s="1609" t="s">
        <v>909</v>
      </c>
      <c r="B9" s="1610"/>
      <c r="C9" s="1603">
        <f>SUM(E9:N9)</f>
        <v>622.70000000000005</v>
      </c>
      <c r="D9" s="1604"/>
      <c r="E9" s="585">
        <v>179</v>
      </c>
      <c r="F9" s="227">
        <v>91.12</v>
      </c>
      <c r="G9" s="585">
        <v>2.69</v>
      </c>
      <c r="H9" s="227" t="s">
        <v>570</v>
      </c>
      <c r="I9" s="225">
        <v>4.66</v>
      </c>
      <c r="J9" s="438">
        <v>0.08</v>
      </c>
      <c r="K9" s="585">
        <v>0.12</v>
      </c>
      <c r="L9" s="227">
        <v>9.52</v>
      </c>
      <c r="M9" s="1370">
        <v>335.51</v>
      </c>
      <c r="N9" s="1371"/>
    </row>
    <row r="10" spans="1:14" ht="21" customHeight="1">
      <c r="A10" s="1616" t="s">
        <v>895</v>
      </c>
      <c r="B10" s="1617"/>
      <c r="C10" s="1618">
        <f>SUM(E10:N10)</f>
        <v>622.69999999999993</v>
      </c>
      <c r="D10" s="1619"/>
      <c r="E10" s="557">
        <v>179</v>
      </c>
      <c r="F10" s="427">
        <v>91.32</v>
      </c>
      <c r="G10" s="557">
        <v>2.39</v>
      </c>
      <c r="H10" s="427" t="s">
        <v>570</v>
      </c>
      <c r="I10" s="244">
        <v>4.78</v>
      </c>
      <c r="J10" s="439">
        <v>7.0000000000000007E-2</v>
      </c>
      <c r="K10" s="557">
        <v>0.11</v>
      </c>
      <c r="L10" s="427">
        <v>9.01</v>
      </c>
      <c r="M10" s="1620">
        <v>336.02</v>
      </c>
      <c r="N10" s="1621"/>
    </row>
    <row r="11" spans="1:14" ht="13.5" customHeight="1">
      <c r="A11" s="558"/>
      <c r="B11" s="448"/>
      <c r="C11" s="448"/>
      <c r="D11" s="448"/>
      <c r="E11" s="448"/>
      <c r="F11" s="452"/>
      <c r="G11" s="452"/>
      <c r="H11" s="470"/>
      <c r="I11" s="470"/>
      <c r="J11" s="1265"/>
      <c r="L11" s="359"/>
      <c r="M11" s="359"/>
      <c r="N11" s="919" t="s">
        <v>384</v>
      </c>
    </row>
    <row r="12" spans="1:14" ht="18" customHeight="1">
      <c r="A12" s="448"/>
      <c r="B12" s="448"/>
      <c r="C12" s="448"/>
      <c r="D12" s="448"/>
      <c r="E12" s="448"/>
      <c r="F12" s="452"/>
      <c r="G12" s="452"/>
      <c r="H12" s="470"/>
      <c r="I12" s="470"/>
      <c r="J12" s="470"/>
      <c r="K12" s="470"/>
      <c r="L12" s="359"/>
      <c r="M12" s="359"/>
      <c r="N12" s="359"/>
    </row>
    <row r="13" spans="1:14" ht="15" customHeight="1">
      <c r="A13" s="1393" t="s">
        <v>425</v>
      </c>
      <c r="B13" s="1393"/>
      <c r="C13" s="1393"/>
      <c r="D13" s="1393"/>
      <c r="E13" s="1393"/>
      <c r="F13" s="1393"/>
      <c r="G13" s="1393"/>
      <c r="H13" s="1393"/>
      <c r="I13" s="1393"/>
      <c r="J13" s="1393"/>
      <c r="K13" s="1393"/>
      <c r="L13" s="1393"/>
      <c r="M13" s="1393"/>
      <c r="N13" s="1393"/>
    </row>
    <row r="14" spans="1:14" ht="18" customHeight="1">
      <c r="A14" s="1353" t="str">
        <f>CONCATENATE("Distribution of Operational Holdings over size-classes in the district of ",District!A1)</f>
        <v>Distribution of Operational Holdings over size-classes in the district of Jalpaiguri</v>
      </c>
      <c r="B14" s="1353"/>
      <c r="C14" s="1353"/>
      <c r="D14" s="1353"/>
      <c r="E14" s="1353"/>
      <c r="F14" s="1353"/>
      <c r="G14" s="1353"/>
      <c r="H14" s="1353"/>
      <c r="I14" s="1353"/>
      <c r="J14" s="1353"/>
      <c r="K14" s="1353"/>
      <c r="L14" s="1353"/>
      <c r="M14" s="1353"/>
      <c r="N14" s="1353"/>
    </row>
    <row r="15" spans="1:14" ht="12.75" customHeight="1">
      <c r="A15" s="359"/>
      <c r="B15" s="405"/>
      <c r="C15" s="405"/>
      <c r="D15" s="405"/>
      <c r="E15" s="405"/>
      <c r="F15" s="405"/>
      <c r="G15" s="405"/>
      <c r="H15" s="405"/>
      <c r="I15" s="405"/>
      <c r="J15" s="405"/>
      <c r="K15" s="405"/>
      <c r="L15" s="405"/>
      <c r="M15" s="432"/>
      <c r="N15" s="665" t="s">
        <v>925</v>
      </c>
    </row>
    <row r="16" spans="1:14" ht="15.75" customHeight="1">
      <c r="A16" s="1288" t="s">
        <v>98</v>
      </c>
      <c r="B16" s="1445" t="s">
        <v>924</v>
      </c>
      <c r="C16" s="1444"/>
      <c r="D16" s="1444"/>
      <c r="E16" s="1444"/>
      <c r="F16" s="1444"/>
      <c r="G16" s="1444"/>
      <c r="H16" s="1444"/>
      <c r="I16" s="1444"/>
      <c r="J16" s="1444"/>
      <c r="K16" s="1444"/>
      <c r="L16" s="1444"/>
      <c r="M16" s="1446"/>
      <c r="N16" s="1299" t="s">
        <v>1234</v>
      </c>
    </row>
    <row r="17" spans="1:17" ht="16.5" customHeight="1">
      <c r="A17" s="1312"/>
      <c r="B17" s="1290" t="s">
        <v>919</v>
      </c>
      <c r="C17" s="1292"/>
      <c r="D17" s="1290" t="s">
        <v>920</v>
      </c>
      <c r="E17" s="1292"/>
      <c r="F17" s="1290" t="s">
        <v>921</v>
      </c>
      <c r="G17" s="1292"/>
      <c r="H17" s="1290" t="s">
        <v>922</v>
      </c>
      <c r="I17" s="1292"/>
      <c r="J17" s="1290" t="s">
        <v>923</v>
      </c>
      <c r="K17" s="1292"/>
      <c r="L17" s="1439" t="s">
        <v>300</v>
      </c>
      <c r="M17" s="1441"/>
      <c r="N17" s="1398"/>
    </row>
    <row r="18" spans="1:17" ht="31.5" customHeight="1">
      <c r="A18" s="1301"/>
      <c r="B18" s="639" t="s">
        <v>520</v>
      </c>
      <c r="C18" s="640" t="s">
        <v>811</v>
      </c>
      <c r="D18" s="639" t="s">
        <v>520</v>
      </c>
      <c r="E18" s="640" t="s">
        <v>811</v>
      </c>
      <c r="F18" s="639" t="s">
        <v>520</v>
      </c>
      <c r="G18" s="640" t="s">
        <v>811</v>
      </c>
      <c r="H18" s="639" t="s">
        <v>520</v>
      </c>
      <c r="I18" s="640" t="s">
        <v>811</v>
      </c>
      <c r="J18" s="639" t="s">
        <v>520</v>
      </c>
      <c r="K18" s="640" t="s">
        <v>811</v>
      </c>
      <c r="L18" s="639" t="s">
        <v>520</v>
      </c>
      <c r="M18" s="640" t="s">
        <v>811</v>
      </c>
      <c r="N18" s="1302"/>
    </row>
    <row r="19" spans="1:17" ht="15" customHeight="1">
      <c r="A19" s="154" t="s">
        <v>278</v>
      </c>
      <c r="B19" s="1091" t="s">
        <v>279</v>
      </c>
      <c r="C19" s="94" t="s">
        <v>280</v>
      </c>
      <c r="D19" s="471" t="s">
        <v>281</v>
      </c>
      <c r="E19" s="472" t="s">
        <v>282</v>
      </c>
      <c r="F19" s="471" t="s">
        <v>283</v>
      </c>
      <c r="G19" s="472" t="s">
        <v>284</v>
      </c>
      <c r="H19" s="471" t="s">
        <v>301</v>
      </c>
      <c r="I19" s="472" t="s">
        <v>302</v>
      </c>
      <c r="J19" s="471" t="s">
        <v>303</v>
      </c>
      <c r="K19" s="472" t="s">
        <v>304</v>
      </c>
      <c r="L19" s="471" t="s">
        <v>344</v>
      </c>
      <c r="M19" s="472" t="s">
        <v>345</v>
      </c>
      <c r="N19" s="473" t="s">
        <v>346</v>
      </c>
    </row>
    <row r="20" spans="1:17" ht="26.25" customHeight="1">
      <c r="A20" s="44" t="s">
        <v>244</v>
      </c>
      <c r="B20" s="44">
        <v>237307</v>
      </c>
      <c r="C20" s="43">
        <v>124369</v>
      </c>
      <c r="D20" s="158">
        <v>47175</v>
      </c>
      <c r="E20" s="43">
        <v>74995</v>
      </c>
      <c r="F20" s="158">
        <v>9854</v>
      </c>
      <c r="G20" s="158">
        <v>27158</v>
      </c>
      <c r="H20" s="44">
        <v>1104</v>
      </c>
      <c r="I20" s="43">
        <v>5535</v>
      </c>
      <c r="J20" s="158">
        <v>196</v>
      </c>
      <c r="K20" s="158">
        <v>123478</v>
      </c>
      <c r="L20" s="44">
        <v>295636</v>
      </c>
      <c r="M20" s="43">
        <v>355535</v>
      </c>
      <c r="N20" s="273">
        <v>1.2</v>
      </c>
    </row>
    <row r="21" spans="1:17" ht="26.25" customHeight="1">
      <c r="A21" s="44" t="s">
        <v>1111</v>
      </c>
      <c r="B21" s="1023">
        <v>237409</v>
      </c>
      <c r="C21" s="43">
        <v>123943</v>
      </c>
      <c r="D21" s="158">
        <v>47282</v>
      </c>
      <c r="E21" s="43">
        <v>77184</v>
      </c>
      <c r="F21" s="158">
        <v>9177</v>
      </c>
      <c r="G21" s="158">
        <v>24865</v>
      </c>
      <c r="H21" s="44">
        <v>731</v>
      </c>
      <c r="I21" s="43">
        <v>3688</v>
      </c>
      <c r="J21" s="158">
        <v>238</v>
      </c>
      <c r="K21" s="158">
        <v>124908</v>
      </c>
      <c r="L21" s="44">
        <v>294837</v>
      </c>
      <c r="M21" s="43">
        <v>354588</v>
      </c>
      <c r="N21" s="273">
        <v>1.2</v>
      </c>
    </row>
    <row r="22" spans="1:17" ht="12" customHeight="1">
      <c r="A22" s="920" t="s">
        <v>606</v>
      </c>
      <c r="B22" s="921" t="s">
        <v>607</v>
      </c>
      <c r="C22" s="909"/>
      <c r="D22" s="922"/>
      <c r="E22" s="499"/>
      <c r="F22" s="887"/>
      <c r="G22" s="904"/>
      <c r="H22" s="359"/>
      <c r="I22" s="359"/>
      <c r="J22" s="1615" t="s">
        <v>604</v>
      </c>
      <c r="K22" s="1615"/>
      <c r="L22" s="1615"/>
      <c r="M22" s="1615"/>
      <c r="N22" s="1615"/>
    </row>
    <row r="23" spans="1:17" ht="12" customHeight="1">
      <c r="A23" s="923" t="s">
        <v>608</v>
      </c>
      <c r="B23" s="921" t="s">
        <v>609</v>
      </c>
      <c r="C23" s="924"/>
      <c r="D23" s="922"/>
      <c r="E23" s="887"/>
      <c r="F23" s="887"/>
      <c r="G23" s="904"/>
      <c r="H23" s="359"/>
      <c r="I23" s="359"/>
      <c r="J23" s="596"/>
      <c r="K23" s="596"/>
      <c r="L23" s="596"/>
      <c r="M23" s="596"/>
      <c r="N23" s="596"/>
    </row>
    <row r="24" spans="1:17" ht="12" customHeight="1">
      <c r="A24" s="923" t="s">
        <v>610</v>
      </c>
      <c r="B24" s="921" t="s">
        <v>611</v>
      </c>
      <c r="C24" s="909"/>
      <c r="D24" s="922"/>
      <c r="E24" s="904"/>
      <c r="F24" s="904"/>
      <c r="G24" s="887"/>
      <c r="H24" s="359"/>
      <c r="I24" s="359"/>
      <c r="J24" s="448"/>
      <c r="K24" s="448"/>
      <c r="L24" s="448"/>
      <c r="M24" s="448"/>
      <c r="N24" s="448"/>
    </row>
    <row r="25" spans="1:17" ht="12" customHeight="1">
      <c r="A25" s="923" t="s">
        <v>612</v>
      </c>
      <c r="B25" s="921" t="s">
        <v>613</v>
      </c>
      <c r="C25" s="909"/>
      <c r="D25" s="922"/>
      <c r="E25" s="904"/>
      <c r="F25" s="904"/>
      <c r="G25" s="904"/>
      <c r="H25" s="359"/>
      <c r="I25" s="359"/>
      <c r="J25" s="448"/>
      <c r="K25" s="448"/>
      <c r="L25" s="448"/>
      <c r="M25" s="448"/>
      <c r="N25" s="448"/>
    </row>
    <row r="26" spans="1:17" ht="12" customHeight="1">
      <c r="A26" s="923" t="s">
        <v>614</v>
      </c>
      <c r="B26" s="921" t="s">
        <v>615</v>
      </c>
      <c r="C26" s="924"/>
      <c r="D26" s="924"/>
      <c r="E26" s="887"/>
      <c r="F26" s="887"/>
      <c r="G26" s="887"/>
      <c r="H26" s="359"/>
      <c r="I26" s="359"/>
      <c r="J26" s="448"/>
      <c r="K26" s="448"/>
      <c r="L26" s="448"/>
      <c r="M26" s="448"/>
      <c r="N26" s="448"/>
    </row>
    <row r="27" spans="1:17" ht="7.5" customHeight="1">
      <c r="A27" s="801"/>
      <c r="B27" s="800"/>
      <c r="C27" s="503"/>
      <c r="D27" s="503"/>
      <c r="E27" s="359"/>
      <c r="F27" s="359"/>
      <c r="G27" s="359"/>
      <c r="H27" s="359"/>
      <c r="I27" s="359"/>
      <c r="J27" s="448"/>
      <c r="K27" s="448"/>
      <c r="L27" s="448"/>
      <c r="M27" s="448"/>
      <c r="N27" s="448"/>
    </row>
    <row r="28" spans="1:17">
      <c r="F28" s="603"/>
      <c r="G28" s="603"/>
      <c r="H28" s="593"/>
      <c r="I28" s="593"/>
      <c r="J28" s="593"/>
      <c r="K28" s="593"/>
      <c r="L28" s="593"/>
      <c r="M28" s="593"/>
      <c r="N28" s="593"/>
      <c r="O28" s="593"/>
      <c r="P28" s="593"/>
      <c r="Q28" s="595"/>
    </row>
    <row r="29" spans="1:17">
      <c r="F29" s="225"/>
      <c r="G29" s="587"/>
      <c r="M29" s="594"/>
      <c r="N29" s="594"/>
      <c r="O29" s="594"/>
      <c r="P29" s="594"/>
      <c r="Q29" s="225"/>
    </row>
    <row r="30" spans="1:17">
      <c r="F30" s="587"/>
      <c r="G30" s="587"/>
      <c r="H30" s="594"/>
      <c r="I30" s="594"/>
      <c r="J30" s="594"/>
      <c r="K30" s="594"/>
      <c r="L30" s="594"/>
      <c r="M30" s="594"/>
      <c r="N30" s="594"/>
      <c r="O30" s="594"/>
      <c r="P30" s="594"/>
      <c r="Q30" s="225"/>
    </row>
  </sheetData>
  <mergeCells count="35">
    <mergeCell ref="J22:N22"/>
    <mergeCell ref="J17:K17"/>
    <mergeCell ref="A14:N14"/>
    <mergeCell ref="A10:B10"/>
    <mergeCell ref="C10:D10"/>
    <mergeCell ref="N16:N18"/>
    <mergeCell ref="B17:C17"/>
    <mergeCell ref="M10:N10"/>
    <mergeCell ref="L17:M17"/>
    <mergeCell ref="A1:N1"/>
    <mergeCell ref="A13:N13"/>
    <mergeCell ref="A7:B7"/>
    <mergeCell ref="A8:B8"/>
    <mergeCell ref="C8:D8"/>
    <mergeCell ref="A2:N2"/>
    <mergeCell ref="C4:D4"/>
    <mergeCell ref="A9:B9"/>
    <mergeCell ref="A6:B6"/>
    <mergeCell ref="M6:N6"/>
    <mergeCell ref="A5:B5"/>
    <mergeCell ref="M5:N5"/>
    <mergeCell ref="C5:D5"/>
    <mergeCell ref="M7:N7"/>
    <mergeCell ref="C9:D9"/>
    <mergeCell ref="M9:N9"/>
    <mergeCell ref="A4:B4"/>
    <mergeCell ref="A16:A18"/>
    <mergeCell ref="C7:D7"/>
    <mergeCell ref="B16:M16"/>
    <mergeCell ref="M4:N4"/>
    <mergeCell ref="D17:E17"/>
    <mergeCell ref="F17:G17"/>
    <mergeCell ref="H17:I17"/>
    <mergeCell ref="M8:N8"/>
    <mergeCell ref="C6:D6"/>
  </mergeCells>
  <phoneticPr fontId="0" type="noConversion"/>
  <printOptions horizontalCentered="1"/>
  <pageMargins left="0.1" right="0.1" top="0.64" bottom="0.1" header="0.15" footer="0.1"/>
  <pageSetup paperSize="9" orientation="landscape" blackAndWhite="1" r:id="rId1"/>
  <headerFooter alignWithMargins="0"/>
</worksheet>
</file>

<file path=xl/worksheets/sheet4.xml><?xml version="1.0" encoding="utf-8"?>
<worksheet xmlns="http://schemas.openxmlformats.org/spreadsheetml/2006/main" xmlns:r="http://schemas.openxmlformats.org/officeDocument/2006/relationships">
  <sheetPr codeName="Sheet11"/>
  <dimension ref="A1:E128"/>
  <sheetViews>
    <sheetView topLeftCell="A40" workbookViewId="0">
      <selection activeCell="F4" sqref="F4"/>
    </sheetView>
  </sheetViews>
  <sheetFormatPr defaultRowHeight="12.75"/>
  <cols>
    <col min="1" max="2" width="6.7109375" customWidth="1"/>
    <col min="3" max="3" width="71.5703125" customWidth="1"/>
    <col min="4" max="4" width="10.5703125" customWidth="1"/>
  </cols>
  <sheetData>
    <row r="1" spans="1:4" ht="13.5" customHeight="1">
      <c r="A1" s="1281" t="s">
        <v>1493</v>
      </c>
      <c r="B1" s="1281"/>
      <c r="C1" s="1281"/>
      <c r="D1" s="1281"/>
    </row>
    <row r="2" spans="1:4" ht="23.25" customHeight="1">
      <c r="A2" s="1155" t="s">
        <v>1499</v>
      </c>
      <c r="B2" s="536" t="s">
        <v>679</v>
      </c>
      <c r="C2" s="311" t="s">
        <v>898</v>
      </c>
      <c r="D2" s="545" t="s">
        <v>1100</v>
      </c>
    </row>
    <row r="3" spans="1:4" ht="15.75" customHeight="1">
      <c r="A3" s="302"/>
      <c r="B3" s="304"/>
      <c r="C3" s="1037" t="s">
        <v>1578</v>
      </c>
      <c r="D3" s="304"/>
    </row>
    <row r="4" spans="1:4" ht="12.75" customHeight="1">
      <c r="A4" s="387">
        <v>1</v>
      </c>
      <c r="B4" s="551" t="s">
        <v>1536</v>
      </c>
      <c r="C4" s="1032" t="s">
        <v>829</v>
      </c>
      <c r="D4" s="52">
        <v>1</v>
      </c>
    </row>
    <row r="5" spans="1:4" ht="12.75" customHeight="1">
      <c r="A5" s="387">
        <f>A4+1</f>
        <v>2</v>
      </c>
      <c r="B5" s="551" t="s">
        <v>1535</v>
      </c>
      <c r="C5" s="1032" t="s">
        <v>851</v>
      </c>
      <c r="D5" s="52">
        <v>1</v>
      </c>
    </row>
    <row r="6" spans="1:4" ht="12.75" customHeight="1">
      <c r="A6" s="387">
        <f>A5+1</f>
        <v>3</v>
      </c>
      <c r="B6" s="551" t="s">
        <v>1537</v>
      </c>
      <c r="C6" s="1032" t="s">
        <v>182</v>
      </c>
      <c r="D6" s="52">
        <v>2</v>
      </c>
    </row>
    <row r="7" spans="1:4" ht="12.75" customHeight="1">
      <c r="A7" s="387">
        <f>A6+1</f>
        <v>4</v>
      </c>
      <c r="B7" s="551" t="s">
        <v>1538</v>
      </c>
      <c r="C7" s="1032" t="s">
        <v>183</v>
      </c>
      <c r="D7" s="52">
        <v>2</v>
      </c>
    </row>
    <row r="8" spans="1:4" ht="12.75" customHeight="1">
      <c r="A8" s="387"/>
      <c r="B8" s="47"/>
      <c r="C8" s="1037" t="s">
        <v>1579</v>
      </c>
      <c r="D8" s="52"/>
    </row>
    <row r="9" spans="1:4" ht="12.75" customHeight="1">
      <c r="A9" s="387">
        <f>A7+1</f>
        <v>5</v>
      </c>
      <c r="B9" s="551" t="s">
        <v>1539</v>
      </c>
      <c r="C9" s="1032" t="s">
        <v>184</v>
      </c>
      <c r="D9" s="52">
        <v>3</v>
      </c>
    </row>
    <row r="10" spans="1:4" ht="12.75" customHeight="1">
      <c r="A10" s="387">
        <f t="shared" ref="A10:A24" si="0">A9+1</f>
        <v>6</v>
      </c>
      <c r="B10" s="549" t="s">
        <v>1522</v>
      </c>
      <c r="C10" s="1032" t="s">
        <v>754</v>
      </c>
      <c r="D10" s="52">
        <v>4</v>
      </c>
    </row>
    <row r="11" spans="1:4" ht="12.75" customHeight="1">
      <c r="A11" s="387">
        <f t="shared" si="0"/>
        <v>7</v>
      </c>
      <c r="B11" s="549" t="s">
        <v>1459</v>
      </c>
      <c r="C11" s="1032" t="s">
        <v>185</v>
      </c>
      <c r="D11" s="52">
        <v>4</v>
      </c>
    </row>
    <row r="12" spans="1:4" ht="12.75" customHeight="1">
      <c r="A12" s="387">
        <f t="shared" si="0"/>
        <v>8</v>
      </c>
      <c r="B12" s="551" t="s">
        <v>1540</v>
      </c>
      <c r="C12" s="1032" t="s">
        <v>1331</v>
      </c>
      <c r="D12" s="52">
        <v>5</v>
      </c>
    </row>
    <row r="13" spans="1:4" ht="12.75" customHeight="1">
      <c r="A13" s="387">
        <f t="shared" si="0"/>
        <v>9</v>
      </c>
      <c r="B13" s="551" t="s">
        <v>1541</v>
      </c>
      <c r="C13" s="1032" t="s">
        <v>1304</v>
      </c>
      <c r="D13" s="52">
        <v>5</v>
      </c>
    </row>
    <row r="14" spans="1:4" ht="12.75" customHeight="1">
      <c r="A14" s="387">
        <f t="shared" si="0"/>
        <v>10</v>
      </c>
      <c r="B14" s="549" t="s">
        <v>1523</v>
      </c>
      <c r="C14" s="1032" t="s">
        <v>1330</v>
      </c>
      <c r="D14" s="52">
        <v>6</v>
      </c>
    </row>
    <row r="15" spans="1:4" ht="12.75" customHeight="1">
      <c r="A15" s="387">
        <f t="shared" si="0"/>
        <v>11</v>
      </c>
      <c r="B15" s="549" t="s">
        <v>1524</v>
      </c>
      <c r="C15" s="1032" t="s">
        <v>1449</v>
      </c>
      <c r="D15" s="52">
        <v>7</v>
      </c>
    </row>
    <row r="16" spans="1:4" ht="12.75" customHeight="1">
      <c r="A16" s="387">
        <f t="shared" si="0"/>
        <v>12</v>
      </c>
      <c r="B16" s="549" t="s">
        <v>1525</v>
      </c>
      <c r="C16" s="1032" t="s">
        <v>1305</v>
      </c>
      <c r="D16" s="52">
        <v>8</v>
      </c>
    </row>
    <row r="17" spans="1:4" ht="12.75" customHeight="1">
      <c r="A17" s="387">
        <f t="shared" si="0"/>
        <v>13</v>
      </c>
      <c r="B17" s="549" t="s">
        <v>1526</v>
      </c>
      <c r="C17" s="1032" t="s">
        <v>1450</v>
      </c>
      <c r="D17" s="52">
        <v>9</v>
      </c>
    </row>
    <row r="18" spans="1:4" ht="12.75" customHeight="1">
      <c r="A18" s="387">
        <f t="shared" si="0"/>
        <v>14</v>
      </c>
      <c r="B18" s="551" t="s">
        <v>1542</v>
      </c>
      <c r="C18" s="1032" t="s">
        <v>1293</v>
      </c>
      <c r="D18" s="52">
        <v>10</v>
      </c>
    </row>
    <row r="19" spans="1:4" ht="12.75" customHeight="1">
      <c r="A19" s="387">
        <f t="shared" si="0"/>
        <v>15</v>
      </c>
      <c r="B19" s="551" t="s">
        <v>1543</v>
      </c>
      <c r="C19" s="1033" t="s">
        <v>198</v>
      </c>
      <c r="D19" s="52">
        <v>11</v>
      </c>
    </row>
    <row r="20" spans="1:4" ht="12.75" customHeight="1">
      <c r="A20" s="387">
        <f t="shared" si="0"/>
        <v>16</v>
      </c>
      <c r="B20" s="551" t="s">
        <v>1544</v>
      </c>
      <c r="C20" s="1033" t="s">
        <v>1306</v>
      </c>
      <c r="D20" s="52">
        <v>12</v>
      </c>
    </row>
    <row r="21" spans="1:4" ht="12.75" customHeight="1">
      <c r="A21" s="387">
        <f t="shared" si="0"/>
        <v>17</v>
      </c>
      <c r="B21" s="551" t="s">
        <v>1545</v>
      </c>
      <c r="C21" s="1032" t="s">
        <v>1355</v>
      </c>
      <c r="D21" s="52">
        <v>13</v>
      </c>
    </row>
    <row r="22" spans="1:4" ht="12.75" customHeight="1">
      <c r="A22" s="387">
        <f t="shared" si="0"/>
        <v>18</v>
      </c>
      <c r="B22" s="551" t="s">
        <v>1546</v>
      </c>
      <c r="C22" s="1032" t="s">
        <v>852</v>
      </c>
      <c r="D22" s="52">
        <v>13</v>
      </c>
    </row>
    <row r="23" spans="1:4" ht="12.75" customHeight="1">
      <c r="A23" s="387">
        <f t="shared" si="0"/>
        <v>19</v>
      </c>
      <c r="B23" s="549" t="s">
        <v>1533</v>
      </c>
      <c r="C23" s="1032" t="s">
        <v>1301</v>
      </c>
      <c r="D23" s="52">
        <v>14</v>
      </c>
    </row>
    <row r="24" spans="1:4" ht="12.75" customHeight="1">
      <c r="A24" s="387">
        <f t="shared" si="0"/>
        <v>20</v>
      </c>
      <c r="B24" s="551" t="s">
        <v>1547</v>
      </c>
      <c r="C24" s="1032" t="s">
        <v>1307</v>
      </c>
      <c r="D24" s="52">
        <v>16</v>
      </c>
    </row>
    <row r="25" spans="1:4" ht="14.25" customHeight="1">
      <c r="A25" s="387"/>
      <c r="B25" s="47"/>
      <c r="C25" s="1037" t="s">
        <v>1580</v>
      </c>
      <c r="D25" s="52"/>
    </row>
    <row r="26" spans="1:4" ht="12.75" customHeight="1">
      <c r="A26" s="387">
        <f>A24+1</f>
        <v>21</v>
      </c>
      <c r="B26" s="551" t="s">
        <v>1548</v>
      </c>
      <c r="C26" s="1032" t="s">
        <v>1308</v>
      </c>
      <c r="D26" s="52">
        <v>17</v>
      </c>
    </row>
    <row r="27" spans="1:4" ht="12.75" customHeight="1">
      <c r="A27" s="387">
        <f>A26+1</f>
        <v>22</v>
      </c>
      <c r="B27" s="551" t="s">
        <v>1549</v>
      </c>
      <c r="C27" s="1032" t="s">
        <v>1300</v>
      </c>
      <c r="D27" s="52">
        <v>18</v>
      </c>
    </row>
    <row r="28" spans="1:4" ht="12.75" customHeight="1">
      <c r="A28" s="387">
        <f>A27+1</f>
        <v>23</v>
      </c>
      <c r="B28" s="549" t="s">
        <v>1534</v>
      </c>
      <c r="C28" s="1032" t="s">
        <v>853</v>
      </c>
      <c r="D28" s="52">
        <v>19</v>
      </c>
    </row>
    <row r="29" spans="1:4" ht="12.75" customHeight="1">
      <c r="A29" s="387">
        <f>A28+1</f>
        <v>24</v>
      </c>
      <c r="B29" s="551" t="s">
        <v>1550</v>
      </c>
      <c r="C29" s="1032" t="s">
        <v>1354</v>
      </c>
      <c r="D29" s="52">
        <v>20</v>
      </c>
    </row>
    <row r="30" spans="1:4" ht="12.75" customHeight="1">
      <c r="A30" s="387">
        <f>A29+1</f>
        <v>25</v>
      </c>
      <c r="B30" s="551" t="s">
        <v>7</v>
      </c>
      <c r="C30" s="1032" t="s">
        <v>1353</v>
      </c>
      <c r="D30" s="52">
        <v>21</v>
      </c>
    </row>
    <row r="31" spans="1:4" ht="12.75" customHeight="1">
      <c r="A31" s="387"/>
      <c r="B31" s="47"/>
      <c r="C31" s="1037" t="s">
        <v>1581</v>
      </c>
      <c r="D31" s="52"/>
    </row>
    <row r="32" spans="1:4" ht="12.75" customHeight="1">
      <c r="A32" s="387">
        <f>A30+1</f>
        <v>26</v>
      </c>
      <c r="B32" s="549" t="s">
        <v>85</v>
      </c>
      <c r="C32" s="1032" t="s">
        <v>1286</v>
      </c>
      <c r="D32" s="52">
        <v>22</v>
      </c>
    </row>
    <row r="33" spans="1:4" ht="12.75" customHeight="1">
      <c r="A33" s="387">
        <f t="shared" ref="A33:A45" si="1">A32+1</f>
        <v>27</v>
      </c>
      <c r="B33" s="549" t="s">
        <v>93</v>
      </c>
      <c r="C33" s="1032" t="s">
        <v>1287</v>
      </c>
      <c r="D33" s="52">
        <v>23</v>
      </c>
    </row>
    <row r="34" spans="1:4" ht="12.75" customHeight="1">
      <c r="A34" s="387">
        <f t="shared" si="1"/>
        <v>28</v>
      </c>
      <c r="B34" s="549" t="s">
        <v>86</v>
      </c>
      <c r="C34" s="1032" t="s">
        <v>1288</v>
      </c>
      <c r="D34" s="52">
        <v>24</v>
      </c>
    </row>
    <row r="35" spans="1:4" ht="12.75" customHeight="1">
      <c r="A35" s="387">
        <f t="shared" si="1"/>
        <v>29</v>
      </c>
      <c r="B35" s="549" t="s">
        <v>87</v>
      </c>
      <c r="C35" s="1032" t="s">
        <v>768</v>
      </c>
      <c r="D35" s="52">
        <v>25</v>
      </c>
    </row>
    <row r="36" spans="1:4" ht="12.75" customHeight="1">
      <c r="A36" s="387">
        <f t="shared" si="1"/>
        <v>30</v>
      </c>
      <c r="B36" s="549" t="s">
        <v>88</v>
      </c>
      <c r="C36" s="1032" t="s">
        <v>769</v>
      </c>
      <c r="D36" s="52">
        <v>26</v>
      </c>
    </row>
    <row r="37" spans="1:4" ht="12.75" customHeight="1">
      <c r="A37" s="387">
        <f t="shared" si="1"/>
        <v>31</v>
      </c>
      <c r="B37" s="549" t="s">
        <v>89</v>
      </c>
      <c r="C37" s="1032" t="s">
        <v>784</v>
      </c>
      <c r="D37" s="52">
        <v>27</v>
      </c>
    </row>
    <row r="38" spans="1:4" ht="12.75" customHeight="1">
      <c r="A38" s="387">
        <f t="shared" si="1"/>
        <v>32</v>
      </c>
      <c r="B38" s="549" t="s">
        <v>90</v>
      </c>
      <c r="C38" s="1032" t="s">
        <v>854</v>
      </c>
      <c r="D38" s="52">
        <v>28</v>
      </c>
    </row>
    <row r="39" spans="1:4" ht="12.75" customHeight="1">
      <c r="A39" s="387">
        <f t="shared" si="1"/>
        <v>33</v>
      </c>
      <c r="B39" s="549" t="s">
        <v>91</v>
      </c>
      <c r="C39" s="1032" t="s">
        <v>1302</v>
      </c>
      <c r="D39" s="52">
        <v>29</v>
      </c>
    </row>
    <row r="40" spans="1:4" ht="12.75" customHeight="1">
      <c r="A40" s="387">
        <f t="shared" si="1"/>
        <v>34</v>
      </c>
      <c r="B40" s="549" t="s">
        <v>92</v>
      </c>
      <c r="C40" s="1032" t="s">
        <v>785</v>
      </c>
      <c r="D40" s="52">
        <v>30</v>
      </c>
    </row>
    <row r="41" spans="1:4" ht="12.75" customHeight="1">
      <c r="A41" s="387">
        <f t="shared" si="1"/>
        <v>35</v>
      </c>
      <c r="B41" s="551" t="s">
        <v>1551</v>
      </c>
      <c r="C41" s="1032" t="s">
        <v>1187</v>
      </c>
      <c r="D41" s="52">
        <v>31</v>
      </c>
    </row>
    <row r="42" spans="1:4" ht="12.75" customHeight="1">
      <c r="A42" s="387">
        <f t="shared" si="1"/>
        <v>36</v>
      </c>
      <c r="B42" s="551" t="s">
        <v>1552</v>
      </c>
      <c r="C42" s="1032" t="s">
        <v>1195</v>
      </c>
      <c r="D42" s="52">
        <v>33</v>
      </c>
    </row>
    <row r="43" spans="1:4" ht="12.75" customHeight="1">
      <c r="A43" s="387">
        <f t="shared" si="1"/>
        <v>37</v>
      </c>
      <c r="B43" s="551" t="s">
        <v>1553</v>
      </c>
      <c r="C43" s="1032" t="s">
        <v>1283</v>
      </c>
      <c r="D43" s="52">
        <v>34</v>
      </c>
    </row>
    <row r="44" spans="1:4" ht="12.75" customHeight="1">
      <c r="A44" s="387">
        <f t="shared" si="1"/>
        <v>38</v>
      </c>
      <c r="B44" s="551" t="s">
        <v>1554</v>
      </c>
      <c r="C44" s="1032" t="s">
        <v>875</v>
      </c>
      <c r="D44" s="52">
        <v>35</v>
      </c>
    </row>
    <row r="45" spans="1:4" ht="12.75" customHeight="1">
      <c r="A45" s="387">
        <f t="shared" si="1"/>
        <v>39</v>
      </c>
      <c r="B45" s="551" t="s">
        <v>1555</v>
      </c>
      <c r="C45" s="1032" t="s">
        <v>876</v>
      </c>
      <c r="D45" s="52">
        <v>35</v>
      </c>
    </row>
    <row r="46" spans="1:4" ht="12.75" customHeight="1">
      <c r="A46" s="387"/>
      <c r="B46" s="47"/>
      <c r="C46" s="1037" t="s">
        <v>1582</v>
      </c>
      <c r="D46" s="52"/>
    </row>
    <row r="47" spans="1:4" ht="12.75" customHeight="1">
      <c r="A47" s="387">
        <f>A45+1</f>
        <v>40</v>
      </c>
      <c r="B47" s="549">
        <v>5.0999999999999996</v>
      </c>
      <c r="C47" s="1032" t="s">
        <v>1284</v>
      </c>
      <c r="D47" s="52">
        <v>36</v>
      </c>
    </row>
    <row r="48" spans="1:4" ht="12.75" customHeight="1">
      <c r="A48" s="683">
        <f t="shared" ref="A48:A63" si="2">A47+1</f>
        <v>41</v>
      </c>
      <c r="B48" s="549" t="s">
        <v>1556</v>
      </c>
      <c r="C48" s="1032" t="s">
        <v>1294</v>
      </c>
      <c r="D48" s="52">
        <v>36</v>
      </c>
    </row>
    <row r="49" spans="1:4" ht="12.75" customHeight="1">
      <c r="A49" s="683">
        <f t="shared" si="2"/>
        <v>42</v>
      </c>
      <c r="B49" s="549" t="s">
        <v>1557</v>
      </c>
      <c r="C49" s="1032" t="s">
        <v>1285</v>
      </c>
      <c r="D49" s="52">
        <v>37</v>
      </c>
    </row>
    <row r="50" spans="1:4" ht="12.75" customHeight="1">
      <c r="A50" s="683">
        <f t="shared" si="2"/>
        <v>43</v>
      </c>
      <c r="B50" s="549">
        <v>5.2</v>
      </c>
      <c r="C50" s="1032" t="s">
        <v>1309</v>
      </c>
      <c r="D50" s="52">
        <v>37</v>
      </c>
    </row>
    <row r="51" spans="1:4" ht="12.75" customHeight="1">
      <c r="A51" s="683">
        <f t="shared" si="2"/>
        <v>44</v>
      </c>
      <c r="B51" s="549">
        <v>5.3</v>
      </c>
      <c r="C51" s="1032" t="s">
        <v>1310</v>
      </c>
      <c r="D51" s="52">
        <v>38</v>
      </c>
    </row>
    <row r="52" spans="1:4" ht="12.75" customHeight="1">
      <c r="A52" s="683">
        <f t="shared" si="2"/>
        <v>45</v>
      </c>
      <c r="B52" s="549" t="s">
        <v>1</v>
      </c>
      <c r="C52" s="1032" t="s">
        <v>1311</v>
      </c>
      <c r="D52" s="52">
        <v>39</v>
      </c>
    </row>
    <row r="53" spans="1:4" ht="12.75" customHeight="1">
      <c r="A53" s="683">
        <f t="shared" si="2"/>
        <v>46</v>
      </c>
      <c r="B53" s="549" t="s">
        <v>29</v>
      </c>
      <c r="C53" s="1032" t="s">
        <v>1312</v>
      </c>
      <c r="D53" s="52">
        <v>40</v>
      </c>
    </row>
    <row r="54" spans="1:4" ht="12.75" customHeight="1">
      <c r="A54" s="683">
        <f t="shared" si="2"/>
        <v>47</v>
      </c>
      <c r="B54" s="549" t="s">
        <v>30</v>
      </c>
      <c r="C54" s="1032" t="s">
        <v>199</v>
      </c>
      <c r="D54" s="52">
        <v>40</v>
      </c>
    </row>
    <row r="55" spans="1:4" ht="12.75" customHeight="1">
      <c r="A55" s="683">
        <f t="shared" si="2"/>
        <v>48</v>
      </c>
      <c r="B55" s="549" t="s">
        <v>31</v>
      </c>
      <c r="C55" s="1032" t="s">
        <v>1289</v>
      </c>
      <c r="D55" s="52">
        <v>41</v>
      </c>
    </row>
    <row r="56" spans="1:4" ht="12.75" customHeight="1">
      <c r="A56" s="683">
        <f t="shared" si="2"/>
        <v>49</v>
      </c>
      <c r="B56" s="549" t="s">
        <v>32</v>
      </c>
      <c r="C56" s="1032" t="s">
        <v>33</v>
      </c>
      <c r="D56" s="52">
        <v>42</v>
      </c>
    </row>
    <row r="57" spans="1:4" ht="12.75" customHeight="1">
      <c r="A57" s="683">
        <f t="shared" si="2"/>
        <v>50</v>
      </c>
      <c r="B57" s="549" t="s">
        <v>1488</v>
      </c>
      <c r="C57" s="1033" t="s">
        <v>39</v>
      </c>
      <c r="D57" s="52">
        <v>42</v>
      </c>
    </row>
    <row r="58" spans="1:4" ht="12.75" customHeight="1">
      <c r="A58" s="683">
        <f t="shared" si="2"/>
        <v>51</v>
      </c>
      <c r="B58" s="549">
        <v>5.4</v>
      </c>
      <c r="C58" s="1032" t="s">
        <v>1290</v>
      </c>
      <c r="D58" s="52">
        <v>43</v>
      </c>
    </row>
    <row r="59" spans="1:4" ht="12.75" customHeight="1">
      <c r="A59" s="683">
        <f t="shared" si="2"/>
        <v>52</v>
      </c>
      <c r="B59" s="549">
        <v>5.5</v>
      </c>
      <c r="C59" s="1032" t="s">
        <v>1324</v>
      </c>
      <c r="D59" s="52">
        <v>44</v>
      </c>
    </row>
    <row r="60" spans="1:4" ht="12.75" customHeight="1">
      <c r="A60" s="683">
        <f t="shared" si="2"/>
        <v>53</v>
      </c>
      <c r="B60" s="549" t="s">
        <v>68</v>
      </c>
      <c r="C60" s="1032" t="s">
        <v>1325</v>
      </c>
      <c r="D60" s="52">
        <v>44</v>
      </c>
    </row>
    <row r="61" spans="1:4" ht="12.75" customHeight="1">
      <c r="A61" s="683">
        <f t="shared" si="2"/>
        <v>54</v>
      </c>
      <c r="B61" s="549">
        <v>5.6</v>
      </c>
      <c r="C61" s="1032" t="s">
        <v>1326</v>
      </c>
      <c r="D61" s="48">
        <v>45</v>
      </c>
    </row>
    <row r="62" spans="1:4" ht="12.75" customHeight="1">
      <c r="A62" s="683">
        <f t="shared" si="2"/>
        <v>55</v>
      </c>
      <c r="B62" s="549">
        <v>5.7</v>
      </c>
      <c r="C62" s="1032" t="s">
        <v>197</v>
      </c>
      <c r="D62" s="48">
        <v>45</v>
      </c>
    </row>
    <row r="63" spans="1:4" ht="12.75" customHeight="1">
      <c r="A63" s="684">
        <f t="shared" si="2"/>
        <v>56</v>
      </c>
      <c r="B63" s="550">
        <v>5.8</v>
      </c>
      <c r="C63" s="1034" t="s">
        <v>1327</v>
      </c>
      <c r="D63" s="43">
        <v>45</v>
      </c>
    </row>
    <row r="64" spans="1:4" ht="12.75" customHeight="1">
      <c r="A64" s="1283" t="s">
        <v>598</v>
      </c>
      <c r="B64" s="1283"/>
      <c r="C64" s="1283"/>
      <c r="D64" s="1007" t="s">
        <v>1011</v>
      </c>
    </row>
    <row r="65" spans="1:5" ht="12.75" customHeight="1">
      <c r="A65" s="1280" t="s">
        <v>1098</v>
      </c>
      <c r="B65" s="1280"/>
      <c r="C65" s="1280"/>
      <c r="D65" s="1280"/>
      <c r="E65" s="372"/>
    </row>
    <row r="66" spans="1:5" ht="24" customHeight="1">
      <c r="A66" s="386" t="s">
        <v>897</v>
      </c>
      <c r="B66" s="536" t="s">
        <v>679</v>
      </c>
      <c r="C66" s="311" t="s">
        <v>898</v>
      </c>
      <c r="D66" s="545" t="s">
        <v>1100</v>
      </c>
    </row>
    <row r="67" spans="1:5" ht="12.75" customHeight="1">
      <c r="A67" s="387"/>
      <c r="B67" s="390"/>
      <c r="C67" s="1037" t="s">
        <v>1583</v>
      </c>
      <c r="D67" s="52"/>
    </row>
    <row r="68" spans="1:5" ht="12.75" customHeight="1">
      <c r="A68" s="387">
        <f>A63+1</f>
        <v>57</v>
      </c>
      <c r="B68" s="549">
        <v>6.1</v>
      </c>
      <c r="C68" s="1032" t="s">
        <v>1332</v>
      </c>
      <c r="D68" s="52">
        <v>46</v>
      </c>
    </row>
    <row r="69" spans="1:5" ht="12.75" customHeight="1">
      <c r="A69" s="683">
        <f>A68+1</f>
        <v>58</v>
      </c>
      <c r="B69" s="549">
        <v>6.2</v>
      </c>
      <c r="C69" s="1032" t="s">
        <v>1291</v>
      </c>
      <c r="D69" s="52">
        <v>47</v>
      </c>
    </row>
    <row r="70" spans="1:5" ht="12.75" customHeight="1">
      <c r="A70" s="387"/>
      <c r="B70" s="47"/>
      <c r="C70" s="1037" t="s">
        <v>1584</v>
      </c>
      <c r="D70" s="304"/>
    </row>
    <row r="71" spans="1:5" ht="12.75" customHeight="1">
      <c r="A71" s="387">
        <f>A69+1</f>
        <v>59</v>
      </c>
      <c r="B71" s="549">
        <v>7.1</v>
      </c>
      <c r="C71" s="1032" t="s">
        <v>1328</v>
      </c>
      <c r="D71" s="52">
        <v>48</v>
      </c>
    </row>
    <row r="72" spans="1:5" ht="12.75" customHeight="1">
      <c r="A72" s="683">
        <f>A71+1</f>
        <v>60</v>
      </c>
      <c r="B72" s="549">
        <v>7.2</v>
      </c>
      <c r="C72" s="1032" t="s">
        <v>877</v>
      </c>
      <c r="D72" s="52">
        <v>49</v>
      </c>
    </row>
    <row r="73" spans="1:5" ht="12.75" customHeight="1">
      <c r="A73" s="683">
        <f>A72+1</f>
        <v>61</v>
      </c>
      <c r="B73" s="549">
        <v>7.3</v>
      </c>
      <c r="C73" s="1032" t="s">
        <v>40</v>
      </c>
      <c r="D73" s="52">
        <v>49</v>
      </c>
    </row>
    <row r="74" spans="1:5" ht="12.75" customHeight="1">
      <c r="A74" s="387"/>
      <c r="B74" s="47"/>
      <c r="C74" s="1037" t="s">
        <v>1585</v>
      </c>
      <c r="D74" s="52"/>
    </row>
    <row r="75" spans="1:5" ht="12.75" customHeight="1">
      <c r="A75" s="387">
        <f>A73+1</f>
        <v>62</v>
      </c>
      <c r="B75" s="549">
        <v>8.1</v>
      </c>
      <c r="C75" s="1032" t="s">
        <v>1295</v>
      </c>
      <c r="D75" s="52">
        <v>50</v>
      </c>
    </row>
    <row r="76" spans="1:5" ht="12.75" customHeight="1">
      <c r="A76" s="683">
        <f>A75+1</f>
        <v>63</v>
      </c>
      <c r="B76" s="549">
        <v>8.1999999999999993</v>
      </c>
      <c r="C76" s="1032" t="s">
        <v>1329</v>
      </c>
      <c r="D76" s="52">
        <v>50</v>
      </c>
    </row>
    <row r="77" spans="1:5" ht="12.75" customHeight="1">
      <c r="A77" s="683">
        <f>A76+1</f>
        <v>64</v>
      </c>
      <c r="B77" s="549" t="s">
        <v>69</v>
      </c>
      <c r="C77" s="1032" t="s">
        <v>1296</v>
      </c>
      <c r="D77" s="52">
        <v>51</v>
      </c>
    </row>
    <row r="78" spans="1:5" ht="12.75" customHeight="1">
      <c r="A78" s="683">
        <f>A77+1</f>
        <v>65</v>
      </c>
      <c r="B78" s="549">
        <v>8.3000000000000007</v>
      </c>
      <c r="C78" s="1032" t="s">
        <v>1333</v>
      </c>
      <c r="D78" s="52">
        <v>52</v>
      </c>
    </row>
    <row r="79" spans="1:5" ht="12.75" customHeight="1">
      <c r="A79" s="683">
        <f>A78+1</f>
        <v>66</v>
      </c>
      <c r="B79" s="549">
        <v>8.4</v>
      </c>
      <c r="C79" s="1032" t="s">
        <v>1297</v>
      </c>
      <c r="D79" s="52">
        <v>54</v>
      </c>
    </row>
    <row r="80" spans="1:5" ht="12.75" customHeight="1">
      <c r="A80" s="387"/>
      <c r="B80" s="47"/>
      <c r="C80" s="1037" t="s">
        <v>1586</v>
      </c>
      <c r="D80" s="52"/>
    </row>
    <row r="81" spans="1:4" ht="12.75" customHeight="1">
      <c r="A81" s="387">
        <f>A79+1</f>
        <v>67</v>
      </c>
      <c r="B81" s="549">
        <v>9.1</v>
      </c>
      <c r="C81" s="1032" t="s">
        <v>1298</v>
      </c>
      <c r="D81" s="52">
        <v>55</v>
      </c>
    </row>
    <row r="82" spans="1:4" ht="12.75" customHeight="1">
      <c r="A82" s="683">
        <f>A81+1</f>
        <v>68</v>
      </c>
      <c r="B82" s="549">
        <v>9.1999999999999993</v>
      </c>
      <c r="C82" s="1032" t="s">
        <v>1334</v>
      </c>
      <c r="D82" s="52">
        <v>56</v>
      </c>
    </row>
    <row r="83" spans="1:4" ht="12.75" customHeight="1">
      <c r="A83" s="683">
        <f>A82+1</f>
        <v>69</v>
      </c>
      <c r="B83" s="549" t="s">
        <v>70</v>
      </c>
      <c r="C83" s="1032" t="s">
        <v>1335</v>
      </c>
      <c r="D83" s="52">
        <v>56</v>
      </c>
    </row>
    <row r="84" spans="1:4" ht="12.75" customHeight="1">
      <c r="A84" s="683">
        <f>A83+1</f>
        <v>70</v>
      </c>
      <c r="B84" s="549" t="s">
        <v>71</v>
      </c>
      <c r="C84" s="1032" t="s">
        <v>1338</v>
      </c>
      <c r="D84" s="52">
        <v>56</v>
      </c>
    </row>
    <row r="85" spans="1:4" ht="12.75" customHeight="1">
      <c r="A85" s="387"/>
      <c r="B85" s="47"/>
      <c r="C85" s="1037" t="s">
        <v>1587</v>
      </c>
      <c r="D85" s="52"/>
    </row>
    <row r="86" spans="1:4" ht="12.75" customHeight="1">
      <c r="A86" s="387">
        <f>A84+1</f>
        <v>71</v>
      </c>
      <c r="B86" s="549">
        <v>10.1</v>
      </c>
      <c r="C86" s="1032" t="s">
        <v>1337</v>
      </c>
      <c r="D86" s="52">
        <v>57</v>
      </c>
    </row>
    <row r="87" spans="1:4" ht="12.75" customHeight="1">
      <c r="A87" s="683">
        <f>A86+1</f>
        <v>72</v>
      </c>
      <c r="B87" s="549">
        <v>10.199999999999999</v>
      </c>
      <c r="C87" s="1032" t="s">
        <v>1299</v>
      </c>
      <c r="D87" s="52">
        <v>57</v>
      </c>
    </row>
    <row r="88" spans="1:4" ht="12.75" customHeight="1">
      <c r="A88" s="683">
        <f>A87+1</f>
        <v>73</v>
      </c>
      <c r="B88" s="549">
        <v>10.3</v>
      </c>
      <c r="C88" s="1032" t="s">
        <v>193</v>
      </c>
      <c r="D88" s="52">
        <v>58</v>
      </c>
    </row>
    <row r="89" spans="1:4" ht="12.75" customHeight="1">
      <c r="A89" s="387"/>
      <c r="B89" s="47"/>
      <c r="C89" s="1037" t="s">
        <v>1588</v>
      </c>
      <c r="D89" s="52"/>
    </row>
    <row r="90" spans="1:4" ht="12.75" customHeight="1">
      <c r="A90" s="387">
        <f>A88+1</f>
        <v>74</v>
      </c>
      <c r="B90" s="549">
        <v>11.1</v>
      </c>
      <c r="C90" s="1032" t="s">
        <v>1339</v>
      </c>
      <c r="D90" s="52">
        <v>59</v>
      </c>
    </row>
    <row r="91" spans="1:4" ht="12.75" customHeight="1">
      <c r="A91" s="683">
        <f>A90+1</f>
        <v>75</v>
      </c>
      <c r="B91" s="549" t="s">
        <v>72</v>
      </c>
      <c r="C91" s="1032" t="s">
        <v>1340</v>
      </c>
      <c r="D91" s="52">
        <v>60</v>
      </c>
    </row>
    <row r="92" spans="1:4" ht="12.75" customHeight="1">
      <c r="A92" s="683">
        <f>A91+1</f>
        <v>76</v>
      </c>
      <c r="B92" s="549">
        <v>11.2</v>
      </c>
      <c r="C92" s="1035" t="s">
        <v>1341</v>
      </c>
      <c r="D92" s="52">
        <v>60</v>
      </c>
    </row>
    <row r="93" spans="1:4" ht="12.75" customHeight="1">
      <c r="A93" s="683">
        <f>A92+1</f>
        <v>77</v>
      </c>
      <c r="B93" s="549">
        <v>11.3</v>
      </c>
      <c r="C93" s="1032" t="s">
        <v>1342</v>
      </c>
      <c r="D93" s="52">
        <v>61</v>
      </c>
    </row>
    <row r="94" spans="1:4" ht="12.75" customHeight="1">
      <c r="A94" s="683">
        <f>A93+1</f>
        <v>78</v>
      </c>
      <c r="B94" s="549">
        <v>11.4</v>
      </c>
      <c r="C94" s="1032" t="s">
        <v>194</v>
      </c>
      <c r="D94" s="52">
        <v>61</v>
      </c>
    </row>
    <row r="95" spans="1:4" ht="12.75" customHeight="1">
      <c r="A95" s="387"/>
      <c r="B95" s="47"/>
      <c r="C95" s="1037" t="s">
        <v>1589</v>
      </c>
      <c r="D95" s="52"/>
    </row>
    <row r="96" spans="1:4" ht="12.75" customHeight="1">
      <c r="A96" s="387">
        <f>A94+1</f>
        <v>79</v>
      </c>
      <c r="B96" s="549">
        <v>12.1</v>
      </c>
      <c r="C96" s="1032" t="s">
        <v>1292</v>
      </c>
      <c r="D96" s="52">
        <v>62</v>
      </c>
    </row>
    <row r="97" spans="1:4" ht="12.75" customHeight="1">
      <c r="A97" s="683">
        <f t="shared" ref="A97:A102" si="3">A96+1</f>
        <v>80</v>
      </c>
      <c r="B97" s="549">
        <v>12.2</v>
      </c>
      <c r="C97" s="1032" t="s">
        <v>1343</v>
      </c>
      <c r="D97" s="52">
        <v>62</v>
      </c>
    </row>
    <row r="98" spans="1:4" ht="12.75" customHeight="1">
      <c r="A98" s="683">
        <f t="shared" si="3"/>
        <v>81</v>
      </c>
      <c r="B98" s="685">
        <v>12.3</v>
      </c>
      <c r="C98" s="1032" t="s">
        <v>200</v>
      </c>
      <c r="D98" s="52">
        <v>63</v>
      </c>
    </row>
    <row r="99" spans="1:4" ht="12.75" customHeight="1">
      <c r="A99" s="683">
        <f t="shared" si="3"/>
        <v>82</v>
      </c>
      <c r="B99" s="549">
        <v>12.4</v>
      </c>
      <c r="C99" s="1036" t="s">
        <v>1348</v>
      </c>
      <c r="D99" s="391">
        <v>63</v>
      </c>
    </row>
    <row r="100" spans="1:4" ht="12.75" customHeight="1">
      <c r="A100" s="683">
        <f t="shared" si="3"/>
        <v>83</v>
      </c>
      <c r="B100" s="549">
        <v>12.5</v>
      </c>
      <c r="C100" s="1032" t="s">
        <v>1344</v>
      </c>
      <c r="D100" s="52">
        <v>64</v>
      </c>
    </row>
    <row r="101" spans="1:4" ht="12.75" customHeight="1">
      <c r="A101" s="683">
        <f t="shared" si="3"/>
        <v>84</v>
      </c>
      <c r="B101" s="549">
        <v>12.6</v>
      </c>
      <c r="C101" s="1032" t="s">
        <v>195</v>
      </c>
      <c r="D101" s="52">
        <v>64</v>
      </c>
    </row>
    <row r="102" spans="1:4" ht="12.75" customHeight="1">
      <c r="A102" s="683">
        <f t="shared" si="3"/>
        <v>85</v>
      </c>
      <c r="B102" s="549">
        <v>12.7</v>
      </c>
      <c r="C102" s="1032" t="s">
        <v>76</v>
      </c>
      <c r="D102" s="52">
        <v>64</v>
      </c>
    </row>
    <row r="103" spans="1:4" ht="12.75" customHeight="1">
      <c r="A103" s="387"/>
      <c r="B103" s="47"/>
      <c r="C103" s="1037" t="s">
        <v>1590</v>
      </c>
      <c r="D103" s="52"/>
    </row>
    <row r="104" spans="1:4" ht="12.75" customHeight="1">
      <c r="A104" s="387">
        <f>A102+1</f>
        <v>86</v>
      </c>
      <c r="B104" s="549">
        <v>13.1</v>
      </c>
      <c r="C104" s="1032" t="s">
        <v>1345</v>
      </c>
      <c r="D104" s="52">
        <v>65</v>
      </c>
    </row>
    <row r="105" spans="1:4" ht="12.75" customHeight="1">
      <c r="A105" s="683">
        <f>A104+1</f>
        <v>87</v>
      </c>
      <c r="B105" s="549">
        <v>13.2</v>
      </c>
      <c r="C105" s="1032" t="s">
        <v>878</v>
      </c>
      <c r="D105" s="52">
        <v>66</v>
      </c>
    </row>
    <row r="106" spans="1:4" ht="12.75" customHeight="1">
      <c r="A106" s="683">
        <f>A105+1</f>
        <v>88</v>
      </c>
      <c r="B106" s="549">
        <v>13.3</v>
      </c>
      <c r="C106" s="1032" t="s">
        <v>196</v>
      </c>
      <c r="D106" s="52">
        <v>66</v>
      </c>
    </row>
    <row r="107" spans="1:4" ht="12.75" customHeight="1">
      <c r="A107" s="387"/>
      <c r="B107" s="47"/>
      <c r="C107" s="1037" t="s">
        <v>1591</v>
      </c>
      <c r="D107" s="52"/>
    </row>
    <row r="108" spans="1:4" ht="12.75" customHeight="1">
      <c r="A108" s="387">
        <f>A106+1</f>
        <v>89</v>
      </c>
      <c r="B108" s="549">
        <v>14.1</v>
      </c>
      <c r="C108" s="1032" t="s">
        <v>1356</v>
      </c>
      <c r="D108" s="52">
        <v>67</v>
      </c>
    </row>
    <row r="109" spans="1:4" ht="12.75" customHeight="1">
      <c r="A109" s="683">
        <f>A108+1</f>
        <v>90</v>
      </c>
      <c r="B109" s="549">
        <v>14.2</v>
      </c>
      <c r="C109" s="1032" t="s">
        <v>879</v>
      </c>
      <c r="D109" s="52">
        <v>67</v>
      </c>
    </row>
    <row r="110" spans="1:4" ht="12.75" customHeight="1">
      <c r="A110" s="387"/>
      <c r="B110" s="47"/>
      <c r="C110" s="1037" t="s">
        <v>1592</v>
      </c>
      <c r="D110" s="52"/>
    </row>
    <row r="111" spans="1:4" ht="12.75" customHeight="1">
      <c r="A111" s="387">
        <f>A109+1</f>
        <v>91</v>
      </c>
      <c r="B111" s="549">
        <v>15.1</v>
      </c>
      <c r="C111" s="1032" t="s">
        <v>880</v>
      </c>
      <c r="D111" s="52">
        <v>68</v>
      </c>
    </row>
    <row r="112" spans="1:4" ht="12.75" customHeight="1">
      <c r="A112" s="683">
        <f>A111+1</f>
        <v>92</v>
      </c>
      <c r="B112" s="549">
        <v>15.2</v>
      </c>
      <c r="C112" s="1032" t="s">
        <v>1346</v>
      </c>
      <c r="D112" s="52">
        <v>69</v>
      </c>
    </row>
    <row r="113" spans="1:4" ht="12.75" customHeight="1">
      <c r="A113" s="387"/>
      <c r="B113" s="47"/>
      <c r="C113" s="1037" t="s">
        <v>1593</v>
      </c>
      <c r="D113" s="52"/>
    </row>
    <row r="114" spans="1:4" ht="12.75" customHeight="1">
      <c r="A114" s="387">
        <f>A112+1</f>
        <v>93</v>
      </c>
      <c r="B114" s="549">
        <v>16.100000000000001</v>
      </c>
      <c r="C114" s="1032" t="s">
        <v>1347</v>
      </c>
      <c r="D114" s="52">
        <v>73</v>
      </c>
    </row>
    <row r="115" spans="1:4" ht="12.75" customHeight="1">
      <c r="A115" s="683">
        <f t="shared" ref="A115:A124" si="4">A114+1</f>
        <v>94</v>
      </c>
      <c r="B115" s="549">
        <v>17.100000000000001</v>
      </c>
      <c r="C115" s="1032" t="s">
        <v>881</v>
      </c>
      <c r="D115" s="52">
        <v>74</v>
      </c>
    </row>
    <row r="116" spans="1:4" ht="12.75" customHeight="1">
      <c r="A116" s="683">
        <f t="shared" si="4"/>
        <v>95</v>
      </c>
      <c r="B116" s="549">
        <v>17.2</v>
      </c>
      <c r="C116" s="1032" t="s">
        <v>1349</v>
      </c>
      <c r="D116" s="52">
        <v>75</v>
      </c>
    </row>
    <row r="117" spans="1:4" ht="12.75" customHeight="1">
      <c r="A117" s="683">
        <f t="shared" si="4"/>
        <v>96</v>
      </c>
      <c r="B117" s="549">
        <v>18.100000000000001</v>
      </c>
      <c r="C117" s="1032" t="s">
        <v>201</v>
      </c>
      <c r="D117" s="52">
        <v>76</v>
      </c>
    </row>
    <row r="118" spans="1:4" ht="12.75" customHeight="1">
      <c r="A118" s="683">
        <f t="shared" si="4"/>
        <v>97</v>
      </c>
      <c r="B118" s="549">
        <v>18.2</v>
      </c>
      <c r="C118" s="1032" t="s">
        <v>186</v>
      </c>
      <c r="D118" s="52">
        <v>78</v>
      </c>
    </row>
    <row r="119" spans="1:4" ht="12.75" customHeight="1">
      <c r="A119" s="683">
        <f t="shared" si="4"/>
        <v>98</v>
      </c>
      <c r="B119" s="549">
        <v>18.3</v>
      </c>
      <c r="C119" s="1032" t="s">
        <v>1350</v>
      </c>
      <c r="D119" s="52">
        <v>79</v>
      </c>
    </row>
    <row r="120" spans="1:4" ht="12.75" customHeight="1">
      <c r="A120" s="683">
        <f t="shared" si="4"/>
        <v>99</v>
      </c>
      <c r="B120" s="549">
        <v>19.100000000000001</v>
      </c>
      <c r="C120" s="1032" t="s">
        <v>645</v>
      </c>
      <c r="D120" s="52">
        <v>80</v>
      </c>
    </row>
    <row r="121" spans="1:4" ht="12.75" customHeight="1">
      <c r="A121" s="683">
        <f t="shared" si="4"/>
        <v>100</v>
      </c>
      <c r="B121" s="549">
        <v>20.100000000000001</v>
      </c>
      <c r="C121" s="1032" t="s">
        <v>883</v>
      </c>
      <c r="D121" s="52">
        <v>81</v>
      </c>
    </row>
    <row r="122" spans="1:4" ht="12.75" customHeight="1">
      <c r="A122" s="683">
        <f t="shared" si="4"/>
        <v>101</v>
      </c>
      <c r="B122" s="549">
        <v>20.2</v>
      </c>
      <c r="C122" s="1032" t="s">
        <v>1303</v>
      </c>
      <c r="D122" s="52">
        <v>81</v>
      </c>
    </row>
    <row r="123" spans="1:4" ht="12.75" customHeight="1">
      <c r="A123" s="683">
        <f t="shared" si="4"/>
        <v>102</v>
      </c>
      <c r="B123" s="549">
        <v>21.1</v>
      </c>
      <c r="C123" s="1032" t="s">
        <v>1351</v>
      </c>
      <c r="D123" s="52">
        <v>82</v>
      </c>
    </row>
    <row r="124" spans="1:4" ht="12.75" customHeight="1">
      <c r="A124" s="684">
        <f t="shared" si="4"/>
        <v>103</v>
      </c>
      <c r="B124" s="550">
        <v>21.2</v>
      </c>
      <c r="C124" s="1034" t="s">
        <v>1352</v>
      </c>
      <c r="D124" s="155">
        <v>83</v>
      </c>
    </row>
    <row r="125" spans="1:4">
      <c r="A125" s="392"/>
      <c r="B125" s="392"/>
      <c r="C125" s="392"/>
      <c r="D125" s="359"/>
    </row>
    <row r="128" spans="1:4">
      <c r="A128" s="1282" t="s">
        <v>596</v>
      </c>
      <c r="B128" s="1282"/>
      <c r="C128" s="1282"/>
      <c r="D128" s="1282"/>
    </row>
  </sheetData>
  <mergeCells count="4">
    <mergeCell ref="A65:D65"/>
    <mergeCell ref="A1:D1"/>
    <mergeCell ref="A128:D128"/>
    <mergeCell ref="A64:C64"/>
  </mergeCells>
  <phoneticPr fontId="0" type="noConversion"/>
  <printOptions horizontalCentered="1" verticalCentered="1"/>
  <pageMargins left="0.1" right="0.1" top="0.25" bottom="0.1" header="0.14000000000000001" footer="0.1"/>
  <pageSetup paperSize="9" scale="97" orientation="portrait" blackAndWhite="1" r:id="rId1"/>
  <headerFooter alignWithMargins="0"/>
  <rowBreaks count="1" manualBreakCount="1">
    <brk id="64" max="16383" man="1"/>
  </rowBreaks>
</worksheet>
</file>

<file path=xl/worksheets/sheet40.xml><?xml version="1.0" encoding="utf-8"?>
<worksheet xmlns="http://schemas.openxmlformats.org/spreadsheetml/2006/main" xmlns:r="http://schemas.openxmlformats.org/officeDocument/2006/relationships">
  <sheetPr codeName="Sheet43" enableFormatConditionsCalculation="0"/>
  <dimension ref="A1:K53"/>
  <sheetViews>
    <sheetView topLeftCell="A31" workbookViewId="0">
      <selection activeCell="J34" sqref="J34"/>
    </sheetView>
  </sheetViews>
  <sheetFormatPr defaultRowHeight="12.75"/>
  <cols>
    <col min="1" max="1" width="5.85546875" customWidth="1"/>
    <col min="2" max="2" width="19.5703125" customWidth="1"/>
    <col min="3" max="7" width="13" customWidth="1"/>
  </cols>
  <sheetData>
    <row r="1" spans="1:10" ht="15" customHeight="1">
      <c r="A1" s="1393" t="s">
        <v>426</v>
      </c>
      <c r="B1" s="1393"/>
      <c r="C1" s="1393"/>
      <c r="D1" s="1393"/>
      <c r="E1" s="1393"/>
      <c r="F1" s="1393"/>
      <c r="G1" s="1393"/>
    </row>
    <row r="2" spans="1:10" ht="34.5" customHeight="1">
      <c r="A2" s="1622" t="str">
        <f>CONCATENATE("Area of Vested Agricultural Land distributed and Number of Beneficiaries 
in the district of ",District!A1)</f>
        <v>Area of Vested Agricultural Land distributed and Number of Beneficiaries 
in the district of Jalpaiguri</v>
      </c>
      <c r="B2" s="1622"/>
      <c r="C2" s="1622"/>
      <c r="D2" s="1622"/>
      <c r="E2" s="1622"/>
      <c r="F2" s="1622"/>
      <c r="G2" s="1622"/>
    </row>
    <row r="3" spans="1:10" ht="17.25" customHeight="1">
      <c r="A3" s="1293" t="s">
        <v>962</v>
      </c>
      <c r="B3" s="1294"/>
      <c r="C3" s="1299" t="s">
        <v>1235</v>
      </c>
      <c r="D3" s="1444" t="s">
        <v>1236</v>
      </c>
      <c r="E3" s="1444"/>
      <c r="F3" s="1444"/>
      <c r="G3" s="1446"/>
    </row>
    <row r="4" spans="1:10" ht="28.5" customHeight="1">
      <c r="A4" s="1503"/>
      <c r="B4" s="1505"/>
      <c r="C4" s="1301"/>
      <c r="D4" s="447" t="s">
        <v>655</v>
      </c>
      <c r="E4" s="631" t="s">
        <v>656</v>
      </c>
      <c r="F4" s="406" t="s">
        <v>545</v>
      </c>
      <c r="G4" s="257" t="s">
        <v>300</v>
      </c>
    </row>
    <row r="5" spans="1:10" ht="16.5" customHeight="1">
      <c r="A5" s="1385" t="s">
        <v>278</v>
      </c>
      <c r="B5" s="1386"/>
      <c r="C5" s="57" t="s">
        <v>279</v>
      </c>
      <c r="D5" s="57" t="s">
        <v>280</v>
      </c>
      <c r="E5" s="87" t="s">
        <v>281</v>
      </c>
      <c r="F5" s="92" t="s">
        <v>282</v>
      </c>
      <c r="G5" s="57" t="s">
        <v>283</v>
      </c>
    </row>
    <row r="6" spans="1:10" ht="15.95" customHeight="1">
      <c r="A6" s="1321" t="s">
        <v>1006</v>
      </c>
      <c r="B6" s="1623"/>
      <c r="C6" s="178">
        <v>41293</v>
      </c>
      <c r="D6" s="178">
        <v>70794</v>
      </c>
      <c r="E6" s="178">
        <v>28473</v>
      </c>
      <c r="F6" s="178">
        <v>35483</v>
      </c>
      <c r="G6" s="867">
        <f>SUM(D6:F6)</f>
        <v>134750</v>
      </c>
    </row>
    <row r="7" spans="1:10" ht="18" customHeight="1">
      <c r="A7" s="1321" t="s">
        <v>1007</v>
      </c>
      <c r="B7" s="1623"/>
      <c r="C7" s="178">
        <v>41543</v>
      </c>
      <c r="D7" s="178">
        <v>74817</v>
      </c>
      <c r="E7" s="178">
        <v>28944</v>
      </c>
      <c r="F7" s="178">
        <v>43495</v>
      </c>
      <c r="G7" s="867">
        <f>SUM(D7:F7)</f>
        <v>147256</v>
      </c>
    </row>
    <row r="8" spans="1:10" ht="18" customHeight="1">
      <c r="A8" s="1321" t="s">
        <v>181</v>
      </c>
      <c r="B8" s="1623"/>
      <c r="C8" s="178">
        <v>41709</v>
      </c>
      <c r="D8" s="178">
        <v>75116</v>
      </c>
      <c r="E8" s="178">
        <v>29060</v>
      </c>
      <c r="F8" s="178">
        <v>43668</v>
      </c>
      <c r="G8" s="867">
        <f>SUM(D8:F8)</f>
        <v>147844</v>
      </c>
    </row>
    <row r="9" spans="1:10" ht="18" customHeight="1">
      <c r="A9" s="1321" t="s">
        <v>823</v>
      </c>
      <c r="B9" s="1623"/>
      <c r="C9" s="1195">
        <v>40622</v>
      </c>
      <c r="D9" s="1195">
        <v>73354</v>
      </c>
      <c r="E9" s="1195">
        <v>31325</v>
      </c>
      <c r="F9" s="1195">
        <v>36874</v>
      </c>
      <c r="G9" s="1196">
        <f>SUM(D9:F9)</f>
        <v>141553</v>
      </c>
    </row>
    <row r="10" spans="1:10" ht="18" customHeight="1">
      <c r="A10" s="1624"/>
      <c r="B10" s="1625"/>
      <c r="C10" s="1197"/>
      <c r="D10" s="1197"/>
      <c r="E10" s="1197"/>
      <c r="F10" s="1197"/>
      <c r="G10" s="1197">
        <f>SUM(D10:F10)</f>
        <v>0</v>
      </c>
    </row>
    <row r="11" spans="1:10">
      <c r="A11" s="474"/>
      <c r="B11" s="279"/>
      <c r="C11" s="359"/>
      <c r="D11" s="359"/>
      <c r="E11" s="359"/>
      <c r="F11" s="603"/>
      <c r="G11" s="918" t="s">
        <v>605</v>
      </c>
      <c r="H11" s="593"/>
      <c r="I11" s="593"/>
      <c r="J11" s="595"/>
    </row>
    <row r="12" spans="1:10" ht="8.25" customHeight="1">
      <c r="A12" s="474"/>
      <c r="B12" s="279"/>
      <c r="C12" s="359"/>
      <c r="D12" s="359"/>
      <c r="E12" s="359"/>
      <c r="F12" s="603"/>
      <c r="G12" s="918"/>
      <c r="H12" s="593"/>
      <c r="I12" s="593"/>
      <c r="J12" s="595"/>
    </row>
    <row r="13" spans="1:10" ht="13.5" customHeight="1">
      <c r="A13" s="1361" t="s">
        <v>427</v>
      </c>
      <c r="B13" s="1361"/>
      <c r="C13" s="1361"/>
      <c r="D13" s="1361"/>
      <c r="E13" s="1361"/>
      <c r="F13" s="1361"/>
      <c r="G13" s="1361"/>
    </row>
    <row r="14" spans="1:10" ht="18" customHeight="1">
      <c r="A14" s="1354" t="str">
        <f>CONCATENATE("Area under Principal Crops in the district of ",District!A1)</f>
        <v>Area under Principal Crops in the district of Jalpaiguri</v>
      </c>
      <c r="B14" s="1354"/>
      <c r="C14" s="1354"/>
      <c r="D14" s="1354"/>
      <c r="E14" s="1354"/>
      <c r="F14" s="1354"/>
      <c r="G14" s="1354"/>
    </row>
    <row r="15" spans="1:10" ht="11.25" customHeight="1">
      <c r="A15" s="359"/>
      <c r="B15" s="359"/>
      <c r="C15" s="359"/>
      <c r="D15" s="359"/>
      <c r="E15" s="359"/>
      <c r="F15" s="520"/>
      <c r="G15" s="691" t="s">
        <v>1400</v>
      </c>
    </row>
    <row r="16" spans="1:10" ht="13.5" customHeight="1">
      <c r="A16" s="1630" t="s">
        <v>935</v>
      </c>
      <c r="B16" s="1631"/>
      <c r="C16" s="406" t="s">
        <v>1110</v>
      </c>
      <c r="D16" s="406" t="s">
        <v>1111</v>
      </c>
      <c r="E16" s="406" t="s">
        <v>641</v>
      </c>
      <c r="F16" s="406" t="s">
        <v>909</v>
      </c>
      <c r="G16" s="406" t="s">
        <v>895</v>
      </c>
    </row>
    <row r="17" spans="1:11" ht="13.5" customHeight="1">
      <c r="A17" s="1385" t="s">
        <v>278</v>
      </c>
      <c r="B17" s="1441"/>
      <c r="C17" s="87" t="s">
        <v>279</v>
      </c>
      <c r="D17" s="57" t="s">
        <v>280</v>
      </c>
      <c r="E17" s="87" t="s">
        <v>281</v>
      </c>
      <c r="F17" s="57" t="s">
        <v>282</v>
      </c>
      <c r="G17" s="58" t="s">
        <v>283</v>
      </c>
    </row>
    <row r="18" spans="1:11" ht="13.5" customHeight="1">
      <c r="A18" s="277" t="s">
        <v>926</v>
      </c>
      <c r="B18" s="483"/>
      <c r="C18" s="392"/>
      <c r="D18" s="304"/>
      <c r="E18" s="392"/>
      <c r="F18" s="304"/>
      <c r="G18" s="476"/>
    </row>
    <row r="19" spans="1:11" ht="13.5" customHeight="1">
      <c r="A19" s="281" t="s">
        <v>927</v>
      </c>
      <c r="B19" s="542" t="s">
        <v>936</v>
      </c>
      <c r="C19" s="546">
        <f>SUM(C20:C22)</f>
        <v>227.49999999999997</v>
      </c>
      <c r="D19" s="546">
        <f>SUM(D20:D22)</f>
        <v>224.10000000000002</v>
      </c>
      <c r="E19" s="546">
        <f>SUM(E20:E22)</f>
        <v>224.60000000000002</v>
      </c>
      <c r="F19" s="546">
        <f>SUM(F20:F22)</f>
        <v>228.1</v>
      </c>
      <c r="G19" s="546">
        <f>SUM(G20:G22)</f>
        <v>229.6</v>
      </c>
    </row>
    <row r="20" spans="1:11" ht="13.5" customHeight="1">
      <c r="A20" s="477"/>
      <c r="B20" s="543" t="s">
        <v>937</v>
      </c>
      <c r="C20" s="478">
        <v>34.6</v>
      </c>
      <c r="D20" s="478">
        <v>30.8</v>
      </c>
      <c r="E20" s="478">
        <v>29.9</v>
      </c>
      <c r="F20" s="478">
        <v>29.1</v>
      </c>
      <c r="G20" s="478">
        <v>29.4</v>
      </c>
    </row>
    <row r="21" spans="1:11" ht="13.5" customHeight="1">
      <c r="A21" s="477"/>
      <c r="B21" s="543" t="s">
        <v>938</v>
      </c>
      <c r="C21" s="478">
        <v>174.7</v>
      </c>
      <c r="D21" s="478">
        <v>176</v>
      </c>
      <c r="E21" s="478">
        <v>177.8</v>
      </c>
      <c r="F21" s="478">
        <v>180</v>
      </c>
      <c r="G21" s="478">
        <v>180.1</v>
      </c>
    </row>
    <row r="22" spans="1:11" ht="13.5" customHeight="1">
      <c r="A22" s="477"/>
      <c r="B22" s="543" t="s">
        <v>939</v>
      </c>
      <c r="C22" s="478">
        <v>18.2</v>
      </c>
      <c r="D22" s="478">
        <v>17.3</v>
      </c>
      <c r="E22" s="478">
        <v>16.899999999999999</v>
      </c>
      <c r="F22" s="478">
        <v>19</v>
      </c>
      <c r="G22" s="478">
        <v>20.100000000000001</v>
      </c>
    </row>
    <row r="23" spans="1:11" ht="13.5" customHeight="1">
      <c r="A23" s="477" t="s">
        <v>928</v>
      </c>
      <c r="B23" s="388" t="s">
        <v>940</v>
      </c>
      <c r="C23" s="478">
        <v>16</v>
      </c>
      <c r="D23" s="478">
        <v>18</v>
      </c>
      <c r="E23" s="478">
        <v>17.100000000000001</v>
      </c>
      <c r="F23" s="478">
        <v>17.399999999999999</v>
      </c>
      <c r="G23" s="478">
        <v>17.2</v>
      </c>
    </row>
    <row r="24" spans="1:11" ht="13.5" customHeight="1">
      <c r="A24" s="477" t="s">
        <v>929</v>
      </c>
      <c r="B24" s="388" t="s">
        <v>941</v>
      </c>
      <c r="C24" s="478" t="s">
        <v>509</v>
      </c>
      <c r="D24" s="478" t="s">
        <v>509</v>
      </c>
      <c r="E24" s="478" t="s">
        <v>509</v>
      </c>
      <c r="F24" s="478" t="s">
        <v>509</v>
      </c>
      <c r="G24" s="478" t="s">
        <v>509</v>
      </c>
    </row>
    <row r="25" spans="1:11" ht="13.5" customHeight="1">
      <c r="A25" s="477" t="s">
        <v>930</v>
      </c>
      <c r="B25" s="388" t="s">
        <v>942</v>
      </c>
      <c r="C25" s="478">
        <v>11.8</v>
      </c>
      <c r="D25" s="478">
        <v>12.8</v>
      </c>
      <c r="E25" s="478">
        <v>13.5</v>
      </c>
      <c r="F25" s="478">
        <v>12.7</v>
      </c>
      <c r="G25" s="478">
        <v>12.7</v>
      </c>
    </row>
    <row r="26" spans="1:11" ht="13.5" customHeight="1">
      <c r="A26" s="477" t="s">
        <v>931</v>
      </c>
      <c r="B26" s="388" t="s">
        <v>943</v>
      </c>
      <c r="C26" s="478">
        <v>0.3</v>
      </c>
      <c r="D26" s="478">
        <v>0.3</v>
      </c>
      <c r="E26" s="478">
        <v>0.3</v>
      </c>
      <c r="F26" s="1180">
        <v>0.3</v>
      </c>
      <c r="G26" s="1180">
        <v>0.4</v>
      </c>
    </row>
    <row r="27" spans="1:11" ht="13.5" customHeight="1">
      <c r="A27" s="479"/>
      <c r="B27" s="542" t="s">
        <v>944</v>
      </c>
      <c r="C27" s="546">
        <f>SUM(C23:C26)+C19</f>
        <v>255.59999999999997</v>
      </c>
      <c r="D27" s="546">
        <f>SUM(D23:D26)+D19</f>
        <v>255.20000000000002</v>
      </c>
      <c r="E27" s="546">
        <f>SUM(E23:E26)+E19</f>
        <v>255.50000000000003</v>
      </c>
      <c r="F27" s="546">
        <f>SUM(F23:F26)+F19</f>
        <v>258.5</v>
      </c>
      <c r="G27" s="546">
        <f>SUM(G23:G26)+G19</f>
        <v>259.89999999999998</v>
      </c>
      <c r="I27" s="1228"/>
      <c r="J27" s="1228"/>
      <c r="K27" s="1228"/>
    </row>
    <row r="28" spans="1:11" ht="13.5" customHeight="1">
      <c r="A28" s="477" t="s">
        <v>932</v>
      </c>
      <c r="B28" s="388" t="s">
        <v>310</v>
      </c>
      <c r="C28" s="478">
        <v>0.1</v>
      </c>
      <c r="D28" s="478" t="s">
        <v>509</v>
      </c>
      <c r="E28" s="538">
        <v>0.1</v>
      </c>
      <c r="F28" s="538">
        <v>0.1</v>
      </c>
      <c r="G28" s="538" t="s">
        <v>509</v>
      </c>
      <c r="I28" s="1228"/>
      <c r="J28" s="1235"/>
      <c r="K28" s="1228"/>
    </row>
    <row r="29" spans="1:11" ht="13.5" customHeight="1">
      <c r="A29" s="477" t="s">
        <v>933</v>
      </c>
      <c r="B29" s="388" t="s">
        <v>945</v>
      </c>
      <c r="C29" s="538" t="s">
        <v>509</v>
      </c>
      <c r="D29" s="538" t="s">
        <v>509</v>
      </c>
      <c r="E29" s="538" t="s">
        <v>509</v>
      </c>
      <c r="F29" s="538">
        <v>0.1</v>
      </c>
      <c r="G29" s="538" t="s">
        <v>570</v>
      </c>
      <c r="I29" s="1235"/>
      <c r="J29" s="1235"/>
      <c r="K29" s="1228"/>
    </row>
    <row r="30" spans="1:11" ht="13.5" customHeight="1">
      <c r="A30" s="477" t="s">
        <v>934</v>
      </c>
      <c r="B30" s="388" t="s">
        <v>946</v>
      </c>
      <c r="C30" s="478">
        <v>4.4000000000000004</v>
      </c>
      <c r="D30" s="478">
        <v>4.3</v>
      </c>
      <c r="E30" s="478">
        <v>4.2</v>
      </c>
      <c r="F30" s="478">
        <v>4.5999999999999996</v>
      </c>
      <c r="G30" s="478">
        <v>4.7</v>
      </c>
      <c r="I30" s="1230"/>
      <c r="J30" s="1231"/>
      <c r="K30" s="1228"/>
    </row>
    <row r="31" spans="1:11" ht="13.5" customHeight="1">
      <c r="A31" s="479"/>
      <c r="B31" s="542" t="s">
        <v>947</v>
      </c>
      <c r="C31" s="546">
        <f>SUM(C28:C30)</f>
        <v>4.5</v>
      </c>
      <c r="D31" s="546">
        <f>SUM(D28:D30)</f>
        <v>4.3</v>
      </c>
      <c r="E31" s="546">
        <f>SUM(E28:E30)</f>
        <v>4.3</v>
      </c>
      <c r="F31" s="546">
        <f>SUM(F28:F30)</f>
        <v>4.8</v>
      </c>
      <c r="G31" s="546">
        <v>4.7</v>
      </c>
      <c r="I31" s="1228"/>
      <c r="J31" s="1228"/>
      <c r="K31" s="1228"/>
    </row>
    <row r="32" spans="1:11" ht="12.75" customHeight="1">
      <c r="A32" s="479"/>
      <c r="B32" s="542" t="s">
        <v>948</v>
      </c>
      <c r="C32" s="546">
        <f>C27+C31</f>
        <v>260.09999999999997</v>
      </c>
      <c r="D32" s="546">
        <f>D27+D31</f>
        <v>259.5</v>
      </c>
      <c r="E32" s="546">
        <f>E27+E31</f>
        <v>259.8</v>
      </c>
      <c r="F32" s="1181">
        <f>F27+F31</f>
        <v>263.3</v>
      </c>
      <c r="G32" s="1181">
        <f>G27+G31</f>
        <v>264.59999999999997</v>
      </c>
      <c r="I32" s="1228"/>
      <c r="J32" s="1228"/>
      <c r="K32" s="1228"/>
    </row>
    <row r="33" spans="1:11" ht="13.5" customHeight="1">
      <c r="A33" s="277" t="s">
        <v>1087</v>
      </c>
      <c r="B33" s="543"/>
      <c r="C33" s="308"/>
      <c r="D33" s="308"/>
      <c r="E33" s="308"/>
      <c r="F33" s="308"/>
      <c r="G33" s="308"/>
      <c r="I33" s="1228"/>
      <c r="J33" s="1228"/>
      <c r="K33" s="1228"/>
    </row>
    <row r="34" spans="1:11" ht="13.5" customHeight="1">
      <c r="A34" s="477" t="s">
        <v>927</v>
      </c>
      <c r="B34" s="388" t="s">
        <v>132</v>
      </c>
      <c r="C34" s="478">
        <v>10.7</v>
      </c>
      <c r="D34" s="478">
        <v>10.3</v>
      </c>
      <c r="E34" s="478">
        <v>10</v>
      </c>
      <c r="F34" s="478">
        <v>9.8000000000000007</v>
      </c>
      <c r="G34" s="478">
        <v>9.1999999999999993</v>
      </c>
      <c r="I34" s="1232"/>
      <c r="J34" s="1232"/>
      <c r="K34" s="1228"/>
    </row>
    <row r="35" spans="1:11" ht="13.5" customHeight="1">
      <c r="A35" s="477" t="s">
        <v>928</v>
      </c>
      <c r="B35" s="388" t="s">
        <v>1473</v>
      </c>
      <c r="C35" s="478">
        <v>0.8</v>
      </c>
      <c r="D35" s="478">
        <v>1</v>
      </c>
      <c r="E35" s="478">
        <v>0.8</v>
      </c>
      <c r="F35" s="478">
        <v>0.7</v>
      </c>
      <c r="G35" s="478">
        <v>0.7</v>
      </c>
      <c r="I35" s="1228"/>
      <c r="J35" s="1228"/>
      <c r="K35" s="1228"/>
    </row>
    <row r="36" spans="1:11" ht="13.5" customHeight="1">
      <c r="A36" s="477" t="s">
        <v>929</v>
      </c>
      <c r="B36" s="388" t="s">
        <v>949</v>
      </c>
      <c r="C36" s="478">
        <v>4.2</v>
      </c>
      <c r="D36" s="478">
        <v>8.4</v>
      </c>
      <c r="E36" s="478">
        <v>7.4</v>
      </c>
      <c r="F36" s="478">
        <v>7.1</v>
      </c>
      <c r="G36" s="478">
        <v>6.8</v>
      </c>
      <c r="I36" s="818"/>
      <c r="J36" s="818"/>
      <c r="K36" s="1228"/>
    </row>
    <row r="37" spans="1:11" ht="13.5" customHeight="1">
      <c r="A37" s="479"/>
      <c r="B37" s="542" t="s">
        <v>950</v>
      </c>
      <c r="C37" s="540">
        <f>SUM(C34:C36)</f>
        <v>15.7</v>
      </c>
      <c r="D37" s="540">
        <f>SUM(D34:D36)</f>
        <v>19.700000000000003</v>
      </c>
      <c r="E37" s="540">
        <f>SUM(E34:E36)</f>
        <v>18.200000000000003</v>
      </c>
      <c r="F37" s="540">
        <f>SUM(F34:F36)</f>
        <v>17.600000000000001</v>
      </c>
      <c r="G37" s="540">
        <f>SUM(G34:G36)</f>
        <v>16.7</v>
      </c>
      <c r="I37" s="1232"/>
      <c r="J37" s="1232"/>
      <c r="K37" s="1228"/>
    </row>
    <row r="38" spans="1:11" ht="13.5" customHeight="1">
      <c r="A38" s="277" t="s">
        <v>385</v>
      </c>
      <c r="B38" s="543"/>
      <c r="C38" s="308"/>
      <c r="D38" s="308"/>
      <c r="E38" s="308"/>
      <c r="F38" s="308"/>
      <c r="G38" s="308"/>
      <c r="I38" s="1228"/>
      <c r="J38" s="1228"/>
      <c r="K38" s="1228"/>
    </row>
    <row r="39" spans="1:11" ht="13.5" customHeight="1">
      <c r="A39" s="477" t="s">
        <v>927</v>
      </c>
      <c r="B39" s="388" t="s">
        <v>951</v>
      </c>
      <c r="C39" s="478">
        <v>39.299999999999997</v>
      </c>
      <c r="D39" s="478">
        <v>40</v>
      </c>
      <c r="E39" s="478">
        <v>35.700000000000003</v>
      </c>
      <c r="F39" s="478">
        <v>35.1</v>
      </c>
      <c r="G39" s="478">
        <v>35.200000000000003</v>
      </c>
      <c r="I39" s="1231"/>
      <c r="J39" s="1233"/>
      <c r="K39" s="1228"/>
    </row>
    <row r="40" spans="1:11" ht="13.5" customHeight="1">
      <c r="A40" s="477" t="s">
        <v>928</v>
      </c>
      <c r="B40" s="388" t="s">
        <v>952</v>
      </c>
      <c r="C40" s="538">
        <v>0.2</v>
      </c>
      <c r="D40" s="538">
        <v>0.2</v>
      </c>
      <c r="E40" s="538">
        <v>0.3</v>
      </c>
      <c r="F40" s="538">
        <v>0.3</v>
      </c>
      <c r="G40" s="538">
        <v>0.2</v>
      </c>
      <c r="I40" s="2"/>
      <c r="J40" s="1233"/>
      <c r="K40" s="1228"/>
    </row>
    <row r="41" spans="1:11" ht="13.5" customHeight="1">
      <c r="A41" s="477" t="s">
        <v>929</v>
      </c>
      <c r="B41" s="388" t="s">
        <v>812</v>
      </c>
      <c r="C41" s="538" t="s">
        <v>570</v>
      </c>
      <c r="D41" s="538" t="s">
        <v>570</v>
      </c>
      <c r="E41" s="538" t="s">
        <v>570</v>
      </c>
      <c r="F41" s="538" t="s">
        <v>570</v>
      </c>
      <c r="G41" s="538" t="s">
        <v>570</v>
      </c>
      <c r="I41" s="1228"/>
      <c r="J41" s="1228"/>
      <c r="K41" s="1228"/>
    </row>
    <row r="42" spans="1:11" ht="13.5" customHeight="1">
      <c r="A42" s="98"/>
      <c r="B42" s="542" t="s">
        <v>813</v>
      </c>
      <c r="C42" s="546">
        <f>SUM(C39:C41)</f>
        <v>39.5</v>
      </c>
      <c r="D42" s="546">
        <f>SUM(D39:D41)</f>
        <v>40.200000000000003</v>
      </c>
      <c r="E42" s="546">
        <f>SUM(E39:E41)</f>
        <v>36</v>
      </c>
      <c r="F42" s="1181">
        <f>SUM(F39:F41)</f>
        <v>35.4</v>
      </c>
      <c r="G42" s="1181">
        <f>SUM(G39:G41)</f>
        <v>35.400000000000006</v>
      </c>
      <c r="I42" s="1228"/>
      <c r="J42" s="1228"/>
      <c r="K42" s="1234"/>
    </row>
    <row r="43" spans="1:11" ht="13.5" customHeight="1">
      <c r="A43" s="277" t="s">
        <v>1088</v>
      </c>
      <c r="B43" s="543"/>
      <c r="C43" s="308"/>
      <c r="D43" s="308"/>
      <c r="E43" s="308"/>
      <c r="F43" s="308"/>
      <c r="G43" s="308"/>
      <c r="I43" s="1228"/>
      <c r="J43" s="1228"/>
      <c r="K43" s="1228"/>
    </row>
    <row r="44" spans="1:11" ht="13.5" customHeight="1">
      <c r="A44" s="477" t="s">
        <v>927</v>
      </c>
      <c r="B44" s="388" t="s">
        <v>953</v>
      </c>
      <c r="C44" s="478">
        <v>0.1</v>
      </c>
      <c r="D44" s="478">
        <v>0.2</v>
      </c>
      <c r="E44" s="478">
        <v>0.2</v>
      </c>
      <c r="F44" s="478">
        <v>0.1</v>
      </c>
      <c r="G44" s="478">
        <v>0.2</v>
      </c>
      <c r="I44" s="1228"/>
      <c r="J44" s="1228"/>
      <c r="K44" s="1228"/>
    </row>
    <row r="45" spans="1:11" ht="13.5" customHeight="1">
      <c r="A45" s="477" t="s">
        <v>928</v>
      </c>
      <c r="B45" s="388" t="s">
        <v>954</v>
      </c>
      <c r="C45" s="478">
        <v>32.299999999999997</v>
      </c>
      <c r="D45" s="478">
        <v>31.7</v>
      </c>
      <c r="E45" s="478">
        <v>31.9</v>
      </c>
      <c r="F45" s="478">
        <v>33.6</v>
      </c>
      <c r="G45" s="478">
        <v>40.1</v>
      </c>
      <c r="I45" s="1231"/>
      <c r="J45" s="1230"/>
      <c r="K45" s="1228"/>
    </row>
    <row r="46" spans="1:11" ht="13.5" customHeight="1">
      <c r="A46" s="477" t="s">
        <v>929</v>
      </c>
      <c r="B46" s="388" t="s">
        <v>955</v>
      </c>
      <c r="C46" s="478">
        <v>0.7</v>
      </c>
      <c r="D46" s="478">
        <v>0.6</v>
      </c>
      <c r="E46" s="478">
        <v>0.5</v>
      </c>
      <c r="F46" s="478">
        <v>0.7</v>
      </c>
      <c r="G46" s="478">
        <v>0.6</v>
      </c>
      <c r="I46" s="1228"/>
      <c r="J46" s="1228"/>
      <c r="K46" s="1228"/>
    </row>
    <row r="47" spans="1:11" ht="13.5" customHeight="1">
      <c r="A47" s="477" t="s">
        <v>930</v>
      </c>
      <c r="B47" s="388" t="s">
        <v>956</v>
      </c>
      <c r="C47" s="693">
        <v>77.3</v>
      </c>
      <c r="D47" s="693">
        <v>77.3</v>
      </c>
      <c r="E47" s="693" t="s">
        <v>629</v>
      </c>
      <c r="F47" s="1248" t="s">
        <v>1617</v>
      </c>
      <c r="G47" s="1248" t="s">
        <v>1617</v>
      </c>
      <c r="I47" s="1228"/>
      <c r="J47" s="1228"/>
      <c r="K47" s="1228"/>
    </row>
    <row r="48" spans="1:11" ht="13.5" customHeight="1">
      <c r="A48" s="477" t="s">
        <v>931</v>
      </c>
      <c r="B48" s="388" t="s">
        <v>957</v>
      </c>
      <c r="C48" s="478">
        <v>5.5</v>
      </c>
      <c r="D48" s="478">
        <v>5.5</v>
      </c>
      <c r="E48" s="478">
        <v>5.5</v>
      </c>
      <c r="F48" s="478">
        <v>5.5</v>
      </c>
      <c r="G48" s="478">
        <v>5.5</v>
      </c>
      <c r="I48" s="1230"/>
      <c r="J48" s="1230"/>
      <c r="K48" s="1228"/>
    </row>
    <row r="49" spans="1:11" ht="13.5" customHeight="1">
      <c r="A49" s="477" t="s">
        <v>932</v>
      </c>
      <c r="B49" s="388" t="s">
        <v>958</v>
      </c>
      <c r="C49" s="538">
        <v>1.5</v>
      </c>
      <c r="D49" s="538">
        <v>1.5</v>
      </c>
      <c r="E49" s="538">
        <v>1.5</v>
      </c>
      <c r="F49" s="538">
        <v>1.5</v>
      </c>
      <c r="G49" s="538">
        <v>1.6</v>
      </c>
      <c r="I49" s="1231"/>
      <c r="J49" s="1231"/>
      <c r="K49" s="1228"/>
    </row>
    <row r="50" spans="1:11" ht="13.5" customHeight="1">
      <c r="A50" s="1628" t="s">
        <v>959</v>
      </c>
      <c r="B50" s="1629"/>
      <c r="C50" s="591">
        <f>SUM(C44:C49)</f>
        <v>117.4</v>
      </c>
      <c r="D50" s="591">
        <f>SUM(D44:D49)</f>
        <v>116.8</v>
      </c>
      <c r="E50" s="591">
        <f>SUM(E44:E49)+77.3</f>
        <v>116.9</v>
      </c>
      <c r="F50" s="591">
        <f>SUM(F44:F49)+94.4</f>
        <v>135.80000000000001</v>
      </c>
      <c r="G50" s="591">
        <f>SUM(G44:G49)+94.4</f>
        <v>142.4</v>
      </c>
      <c r="I50" s="1228"/>
      <c r="J50" s="1228"/>
      <c r="K50" s="1228"/>
    </row>
    <row r="51" spans="1:11" ht="12" customHeight="1">
      <c r="A51" s="1626" t="s">
        <v>539</v>
      </c>
      <c r="B51" s="1627"/>
      <c r="C51" s="359"/>
      <c r="D51" s="886" t="s">
        <v>960</v>
      </c>
      <c r="E51" s="500" t="s">
        <v>635</v>
      </c>
      <c r="F51" s="500"/>
      <c r="G51" s="755"/>
      <c r="I51" s="1228"/>
      <c r="J51" s="1228"/>
      <c r="K51" s="1228"/>
    </row>
    <row r="52" spans="1:11" ht="12" customHeight="1">
      <c r="A52" s="359"/>
      <c r="B52" s="359"/>
      <c r="C52" s="359"/>
      <c r="D52" s="887"/>
      <c r="E52" s="500" t="s">
        <v>961</v>
      </c>
      <c r="F52" s="500"/>
      <c r="G52" s="755"/>
    </row>
    <row r="53" spans="1:11">
      <c r="E53" s="500" t="s">
        <v>825</v>
      </c>
    </row>
  </sheetData>
  <mergeCells count="17">
    <mergeCell ref="A10:B10"/>
    <mergeCell ref="A51:B51"/>
    <mergeCell ref="A13:G13"/>
    <mergeCell ref="A14:G14"/>
    <mergeCell ref="A50:B50"/>
    <mergeCell ref="A16:B16"/>
    <mergeCell ref="A17:B17"/>
    <mergeCell ref="A1:G1"/>
    <mergeCell ref="A2:G2"/>
    <mergeCell ref="D3:G3"/>
    <mergeCell ref="A9:B9"/>
    <mergeCell ref="A8:B8"/>
    <mergeCell ref="A7:B7"/>
    <mergeCell ref="C3:C4"/>
    <mergeCell ref="A6:B6"/>
    <mergeCell ref="A5:B5"/>
    <mergeCell ref="A3:B4"/>
  </mergeCells>
  <phoneticPr fontId="0" type="noConversion"/>
  <conditionalFormatting sqref="A1:XFD1048576">
    <cfRule type="cellIs" dxfId="11" priority="1" stopIfTrue="1" operator="equal">
      <formula>".."</formula>
    </cfRule>
  </conditionalFormatting>
  <printOptions horizontalCentered="1"/>
  <pageMargins left="0.1" right="0.1" top="0.73" bottom="0.1" header="0.5" footer="0.1"/>
  <pageSetup paperSize="9" orientation="portrait" blackAndWhite="1" r:id="rId1"/>
  <headerFooter alignWithMargins="0"/>
</worksheet>
</file>

<file path=xl/worksheets/sheet41.xml><?xml version="1.0" encoding="utf-8"?>
<worksheet xmlns="http://schemas.openxmlformats.org/spreadsheetml/2006/main" xmlns:r="http://schemas.openxmlformats.org/officeDocument/2006/relationships">
  <sheetPr codeName="Sheet45"/>
  <dimension ref="A1:I43"/>
  <sheetViews>
    <sheetView topLeftCell="A31" workbookViewId="0">
      <selection activeCell="A39" sqref="A39:B40"/>
    </sheetView>
  </sheetViews>
  <sheetFormatPr defaultRowHeight="12.75"/>
  <cols>
    <col min="1" max="1" width="3.42578125" customWidth="1"/>
    <col min="2" max="2" width="20.85546875" customWidth="1"/>
    <col min="3" max="7" width="12.28515625" customWidth="1"/>
  </cols>
  <sheetData>
    <row r="1" spans="1:9">
      <c r="A1" s="1361" t="s">
        <v>428</v>
      </c>
      <c r="B1" s="1361"/>
      <c r="C1" s="1361"/>
      <c r="D1" s="1361"/>
      <c r="E1" s="1361"/>
      <c r="F1" s="1361"/>
      <c r="G1" s="1361"/>
    </row>
    <row r="2" spans="1:9" ht="18" customHeight="1">
      <c r="A2" s="1354" t="str">
        <f>CONCATENATE("Production of Principal Crops in the district of ",District!A1)</f>
        <v>Production of Principal Crops in the district of Jalpaiguri</v>
      </c>
      <c r="B2" s="1354"/>
      <c r="C2" s="1354"/>
      <c r="D2" s="1354"/>
      <c r="E2" s="1354"/>
      <c r="F2" s="1354"/>
      <c r="G2" s="1354"/>
      <c r="H2" s="23"/>
      <c r="I2" s="23"/>
    </row>
    <row r="3" spans="1:9" ht="12" customHeight="1">
      <c r="A3" s="359"/>
      <c r="B3" s="359"/>
      <c r="C3" s="359"/>
      <c r="D3" s="359"/>
      <c r="E3" s="359"/>
      <c r="F3" s="520"/>
      <c r="G3" s="691" t="s">
        <v>1401</v>
      </c>
    </row>
    <row r="4" spans="1:9" ht="15.95" customHeight="1">
      <c r="A4" s="1630" t="s">
        <v>935</v>
      </c>
      <c r="B4" s="1631"/>
      <c r="C4" s="406" t="s">
        <v>1110</v>
      </c>
      <c r="D4" s="406" t="s">
        <v>1111</v>
      </c>
      <c r="E4" s="406" t="s">
        <v>641</v>
      </c>
      <c r="F4" s="406" t="s">
        <v>909</v>
      </c>
      <c r="G4" s="406" t="s">
        <v>895</v>
      </c>
    </row>
    <row r="5" spans="1:9" ht="15.95" customHeight="1">
      <c r="A5" s="1385" t="s">
        <v>278</v>
      </c>
      <c r="B5" s="1441"/>
      <c r="C5" s="87" t="s">
        <v>279</v>
      </c>
      <c r="D5" s="57" t="s">
        <v>280</v>
      </c>
      <c r="E5" s="87" t="s">
        <v>281</v>
      </c>
      <c r="F5" s="57" t="s">
        <v>282</v>
      </c>
      <c r="G5" s="58" t="s">
        <v>283</v>
      </c>
    </row>
    <row r="6" spans="1:9" ht="18" customHeight="1">
      <c r="A6" s="259" t="s">
        <v>926</v>
      </c>
      <c r="B6" s="541"/>
      <c r="C6" s="392"/>
      <c r="D6" s="304"/>
      <c r="E6" s="392"/>
      <c r="F6" s="304"/>
      <c r="G6" s="476"/>
    </row>
    <row r="7" spans="1:9" ht="18" customHeight="1">
      <c r="A7" s="281" t="s">
        <v>927</v>
      </c>
      <c r="B7" s="483" t="s">
        <v>936</v>
      </c>
      <c r="C7" s="540">
        <f>SUM(C8:C10)</f>
        <v>435.3</v>
      </c>
      <c r="D7" s="540">
        <f>SUM(D8:D10)</f>
        <v>493.7</v>
      </c>
      <c r="E7" s="540">
        <f>SUM(E8:E10)</f>
        <v>469.7</v>
      </c>
      <c r="F7" s="540">
        <f>SUM(F8:F10)</f>
        <v>492.9</v>
      </c>
      <c r="G7" s="540">
        <f>SUM(G8:G10)</f>
        <v>523.1</v>
      </c>
    </row>
    <row r="8" spans="1:9" ht="18" customHeight="1">
      <c r="A8" s="480"/>
      <c r="B8" s="388" t="s">
        <v>937</v>
      </c>
      <c r="C8" s="539">
        <v>51.3</v>
      </c>
      <c r="D8" s="539">
        <v>57.4</v>
      </c>
      <c r="E8" s="1167">
        <v>55.3</v>
      </c>
      <c r="F8" s="539">
        <v>55</v>
      </c>
      <c r="G8" s="539">
        <v>57.6</v>
      </c>
    </row>
    <row r="9" spans="1:9" ht="18" customHeight="1">
      <c r="A9" s="480"/>
      <c r="B9" s="388" t="s">
        <v>938</v>
      </c>
      <c r="C9" s="478">
        <v>339.1</v>
      </c>
      <c r="D9" s="478">
        <v>399.1</v>
      </c>
      <c r="E9" s="478">
        <v>379.9</v>
      </c>
      <c r="F9" s="478">
        <v>383.7</v>
      </c>
      <c r="G9" s="478">
        <v>420.7</v>
      </c>
    </row>
    <row r="10" spans="1:9" ht="18" customHeight="1">
      <c r="A10" s="480"/>
      <c r="B10" s="388" t="s">
        <v>939</v>
      </c>
      <c r="C10" s="478">
        <v>44.9</v>
      </c>
      <c r="D10" s="478">
        <v>37.200000000000003</v>
      </c>
      <c r="E10" s="478">
        <v>34.5</v>
      </c>
      <c r="F10" s="478">
        <v>54.2</v>
      </c>
      <c r="G10" s="478">
        <v>44.8</v>
      </c>
    </row>
    <row r="11" spans="1:9" ht="18" customHeight="1">
      <c r="A11" s="477" t="s">
        <v>928</v>
      </c>
      <c r="B11" s="388" t="s">
        <v>940</v>
      </c>
      <c r="C11" s="478">
        <v>36.299999999999997</v>
      </c>
      <c r="D11" s="478">
        <v>41.5</v>
      </c>
      <c r="E11" s="478">
        <v>42.7</v>
      </c>
      <c r="F11" s="478">
        <v>38.9</v>
      </c>
      <c r="G11" s="478">
        <v>39.9</v>
      </c>
    </row>
    <row r="12" spans="1:9" ht="18" customHeight="1">
      <c r="A12" s="477" t="s">
        <v>929</v>
      </c>
      <c r="B12" s="388" t="s">
        <v>941</v>
      </c>
      <c r="C12" s="478" t="s">
        <v>512</v>
      </c>
      <c r="D12" s="478" t="s">
        <v>512</v>
      </c>
      <c r="E12" s="478" t="s">
        <v>512</v>
      </c>
      <c r="F12" s="478" t="s">
        <v>512</v>
      </c>
      <c r="G12" s="478" t="s">
        <v>512</v>
      </c>
    </row>
    <row r="13" spans="1:9" ht="18" customHeight="1">
      <c r="A13" s="477" t="s">
        <v>930</v>
      </c>
      <c r="B13" s="388" t="s">
        <v>942</v>
      </c>
      <c r="C13" s="478">
        <v>23.7</v>
      </c>
      <c r="D13" s="478">
        <v>41.2</v>
      </c>
      <c r="E13" s="478">
        <v>34.4</v>
      </c>
      <c r="F13" s="478">
        <v>33.299999999999997</v>
      </c>
      <c r="G13" s="478">
        <v>43.2</v>
      </c>
    </row>
    <row r="14" spans="1:9" ht="18" customHeight="1">
      <c r="A14" s="477" t="s">
        <v>931</v>
      </c>
      <c r="B14" s="388" t="s">
        <v>943</v>
      </c>
      <c r="C14" s="478">
        <v>0.2</v>
      </c>
      <c r="D14" s="478">
        <v>0.2</v>
      </c>
      <c r="E14" s="478">
        <v>0.2</v>
      </c>
      <c r="F14" s="478">
        <v>0.2</v>
      </c>
      <c r="G14" s="478">
        <v>0.2</v>
      </c>
    </row>
    <row r="15" spans="1:9" ht="18" customHeight="1">
      <c r="A15" s="479"/>
      <c r="B15" s="542" t="s">
        <v>944</v>
      </c>
      <c r="C15" s="540">
        <f>SUM(C11:C14)+C7</f>
        <v>495.5</v>
      </c>
      <c r="D15" s="540">
        <f>SUM(D11:D14)+D7</f>
        <v>576.6</v>
      </c>
      <c r="E15" s="540">
        <f>SUM(E11:E14)+E7</f>
        <v>547</v>
      </c>
      <c r="F15" s="540">
        <f>SUM(F11:F14)+F7</f>
        <v>565.29999999999995</v>
      </c>
      <c r="G15" s="540">
        <f>SUM(G11:G14)+G7</f>
        <v>606.4</v>
      </c>
    </row>
    <row r="16" spans="1:9" ht="18" customHeight="1">
      <c r="A16" s="477" t="s">
        <v>932</v>
      </c>
      <c r="B16" s="388" t="s">
        <v>310</v>
      </c>
      <c r="C16" s="538">
        <v>0.1</v>
      </c>
      <c r="D16" s="538" t="s">
        <v>512</v>
      </c>
      <c r="E16" s="538">
        <v>0.1</v>
      </c>
      <c r="F16" s="538">
        <v>0.1</v>
      </c>
      <c r="G16" s="538" t="s">
        <v>512</v>
      </c>
    </row>
    <row r="17" spans="1:7" ht="18" customHeight="1">
      <c r="A17" s="477" t="s">
        <v>933</v>
      </c>
      <c r="B17" s="388" t="s">
        <v>945</v>
      </c>
      <c r="C17" s="538" t="s">
        <v>512</v>
      </c>
      <c r="D17" s="538" t="s">
        <v>512</v>
      </c>
      <c r="E17" s="538" t="s">
        <v>512</v>
      </c>
      <c r="F17" s="538">
        <v>0.1</v>
      </c>
      <c r="G17" s="538" t="s">
        <v>570</v>
      </c>
    </row>
    <row r="18" spans="1:7" ht="18" customHeight="1">
      <c r="A18" s="477" t="s">
        <v>934</v>
      </c>
      <c r="B18" s="388" t="s">
        <v>946</v>
      </c>
      <c r="C18" s="478">
        <v>2.2000000000000002</v>
      </c>
      <c r="D18" s="478">
        <v>2.7</v>
      </c>
      <c r="E18" s="478">
        <v>2.8</v>
      </c>
      <c r="F18" s="478">
        <v>2.7</v>
      </c>
      <c r="G18" s="478">
        <v>3.1</v>
      </c>
    </row>
    <row r="19" spans="1:7" ht="18" customHeight="1">
      <c r="A19" s="479"/>
      <c r="B19" s="542" t="s">
        <v>947</v>
      </c>
      <c r="C19" s="540">
        <f>SUM(C16:C18)</f>
        <v>2.3000000000000003</v>
      </c>
      <c r="D19" s="540">
        <f>SUM(D16:D18)</f>
        <v>2.7</v>
      </c>
      <c r="E19" s="540">
        <f>SUM(E16:E18)</f>
        <v>2.9</v>
      </c>
      <c r="F19" s="540">
        <f>SUM(F16:F18)</f>
        <v>2.9000000000000004</v>
      </c>
      <c r="G19" s="540">
        <f>SUM(G16:G18)</f>
        <v>3.1</v>
      </c>
    </row>
    <row r="20" spans="1:7" ht="18" customHeight="1">
      <c r="A20" s="479"/>
      <c r="B20" s="542" t="s">
        <v>948</v>
      </c>
      <c r="C20" s="540">
        <f>C15+C19</f>
        <v>497.8</v>
      </c>
      <c r="D20" s="540">
        <f>D15+D19</f>
        <v>579.30000000000007</v>
      </c>
      <c r="E20" s="540">
        <f>E15+E19</f>
        <v>549.9</v>
      </c>
      <c r="F20" s="540">
        <f>F15+F19</f>
        <v>568.19999999999993</v>
      </c>
      <c r="G20" s="540">
        <f>G15+G19</f>
        <v>609.5</v>
      </c>
    </row>
    <row r="21" spans="1:7" ht="18" customHeight="1">
      <c r="A21" s="277" t="s">
        <v>1087</v>
      </c>
      <c r="B21" s="760"/>
      <c r="C21" s="308"/>
      <c r="D21" s="308"/>
      <c r="E21" s="308"/>
      <c r="F21" s="308"/>
      <c r="G21" s="308"/>
    </row>
    <row r="22" spans="1:7" ht="18" customHeight="1">
      <c r="A22" s="481" t="s">
        <v>927</v>
      </c>
      <c r="B22" s="388" t="s">
        <v>132</v>
      </c>
      <c r="C22" s="478">
        <v>6.4</v>
      </c>
      <c r="D22" s="478">
        <v>6.5</v>
      </c>
      <c r="E22" s="478">
        <v>6.5</v>
      </c>
      <c r="F22" s="478">
        <v>6.7</v>
      </c>
      <c r="G22" s="478">
        <v>6.1</v>
      </c>
    </row>
    <row r="23" spans="1:7" ht="18" customHeight="1">
      <c r="A23" s="481" t="s">
        <v>928</v>
      </c>
      <c r="B23" s="388" t="s">
        <v>1473</v>
      </c>
      <c r="C23" s="538">
        <v>0.2</v>
      </c>
      <c r="D23" s="538">
        <v>0.3</v>
      </c>
      <c r="E23" s="538">
        <v>0.2</v>
      </c>
      <c r="F23" s="538">
        <v>0.2</v>
      </c>
      <c r="G23" s="538">
        <v>0.2</v>
      </c>
    </row>
    <row r="24" spans="1:7" ht="18" customHeight="1">
      <c r="A24" s="481" t="s">
        <v>929</v>
      </c>
      <c r="B24" s="388" t="s">
        <v>949</v>
      </c>
      <c r="C24" s="478">
        <v>3.8</v>
      </c>
      <c r="D24" s="478">
        <v>12.2</v>
      </c>
      <c r="E24" s="478">
        <v>8.6999999999999993</v>
      </c>
      <c r="F24" s="478">
        <v>10.6</v>
      </c>
      <c r="G24" s="478">
        <v>10.6</v>
      </c>
    </row>
    <row r="25" spans="1:7" ht="18" customHeight="1">
      <c r="A25" s="479"/>
      <c r="B25" s="542" t="s">
        <v>950</v>
      </c>
      <c r="C25" s="546">
        <f>SUM(C22:C24)</f>
        <v>10.4</v>
      </c>
      <c r="D25" s="546">
        <f>SUM(D22:D24)</f>
        <v>19</v>
      </c>
      <c r="E25" s="546">
        <f>SUM(E22:E24)</f>
        <v>15.399999999999999</v>
      </c>
      <c r="F25" s="546">
        <f>SUM(F22:F24)</f>
        <v>17.5</v>
      </c>
      <c r="G25" s="546">
        <f>SUM(G22:G24)</f>
        <v>16.899999999999999</v>
      </c>
    </row>
    <row r="26" spans="1:7" ht="18" customHeight="1">
      <c r="A26" s="259" t="s">
        <v>387</v>
      </c>
      <c r="B26" s="543"/>
      <c r="C26" s="308"/>
      <c r="D26" s="308"/>
      <c r="E26" s="308"/>
      <c r="F26" s="308"/>
      <c r="G26" s="308"/>
    </row>
    <row r="27" spans="1:7" ht="18" customHeight="1">
      <c r="A27" s="481" t="s">
        <v>927</v>
      </c>
      <c r="B27" s="388" t="s">
        <v>951</v>
      </c>
      <c r="C27" s="478">
        <v>515.4</v>
      </c>
      <c r="D27" s="478">
        <v>482.8</v>
      </c>
      <c r="E27" s="478">
        <v>467.2</v>
      </c>
      <c r="F27" s="478">
        <v>437.3</v>
      </c>
      <c r="G27" s="478">
        <v>423.6</v>
      </c>
    </row>
    <row r="28" spans="1:7" ht="18" customHeight="1">
      <c r="A28" s="481" t="s">
        <v>928</v>
      </c>
      <c r="B28" s="388" t="s">
        <v>952</v>
      </c>
      <c r="C28" s="478">
        <v>2.5</v>
      </c>
      <c r="D28" s="478">
        <v>2.9</v>
      </c>
      <c r="E28" s="478">
        <v>3</v>
      </c>
      <c r="F28" s="478">
        <v>2.7</v>
      </c>
      <c r="G28" s="478">
        <v>1.6</v>
      </c>
    </row>
    <row r="29" spans="1:7" ht="18" customHeight="1">
      <c r="A29" s="481" t="s">
        <v>929</v>
      </c>
      <c r="B29" s="388" t="s">
        <v>812</v>
      </c>
      <c r="C29" s="538" t="s">
        <v>570</v>
      </c>
      <c r="D29" s="538" t="s">
        <v>570</v>
      </c>
      <c r="E29" s="538" t="s">
        <v>570</v>
      </c>
      <c r="F29" s="538" t="s">
        <v>570</v>
      </c>
      <c r="G29" s="538" t="s">
        <v>570</v>
      </c>
    </row>
    <row r="30" spans="1:7" ht="18" customHeight="1">
      <c r="A30" s="479"/>
      <c r="B30" s="542" t="s">
        <v>813</v>
      </c>
      <c r="C30" s="546">
        <f>SUM(C27:C29)</f>
        <v>517.9</v>
      </c>
      <c r="D30" s="546">
        <f>SUM(D27:D29)</f>
        <v>485.7</v>
      </c>
      <c r="E30" s="546">
        <f>SUM(E27:E29)</f>
        <v>470.2</v>
      </c>
      <c r="F30" s="546">
        <f>SUM(F27:F29)</f>
        <v>440</v>
      </c>
      <c r="G30" s="546">
        <f>SUM(G27:G29)</f>
        <v>425.20000000000005</v>
      </c>
    </row>
    <row r="31" spans="1:7" ht="18" customHeight="1">
      <c r="A31" s="1634" t="s">
        <v>1088</v>
      </c>
      <c r="B31" s="1523"/>
      <c r="C31" s="308"/>
      <c r="D31" s="308"/>
      <c r="E31" s="308"/>
      <c r="F31" s="308"/>
      <c r="G31" s="308"/>
    </row>
    <row r="32" spans="1:7" ht="18" customHeight="1">
      <c r="A32" s="481" t="s">
        <v>927</v>
      </c>
      <c r="B32" s="388" t="s">
        <v>953</v>
      </c>
      <c r="C32" s="478">
        <v>10.9</v>
      </c>
      <c r="D32" s="478">
        <v>15.9</v>
      </c>
      <c r="E32" s="478">
        <v>21.4</v>
      </c>
      <c r="F32" s="478">
        <v>12.7</v>
      </c>
      <c r="G32" s="478">
        <v>17.399999999999999</v>
      </c>
    </row>
    <row r="33" spans="1:7" ht="18" customHeight="1">
      <c r="A33" s="481" t="s">
        <v>928</v>
      </c>
      <c r="B33" s="388" t="s">
        <v>954</v>
      </c>
      <c r="C33" s="478">
        <v>905</v>
      </c>
      <c r="D33" s="478">
        <v>733.5</v>
      </c>
      <c r="E33" s="478">
        <v>845.9</v>
      </c>
      <c r="F33" s="478">
        <v>1050.2</v>
      </c>
      <c r="G33" s="478">
        <v>990</v>
      </c>
    </row>
    <row r="34" spans="1:7" ht="18" customHeight="1">
      <c r="A34" s="481" t="s">
        <v>929</v>
      </c>
      <c r="B34" s="388" t="s">
        <v>955</v>
      </c>
      <c r="C34" s="478">
        <v>1.1000000000000001</v>
      </c>
      <c r="D34" s="478">
        <v>0.6</v>
      </c>
      <c r="E34" s="478">
        <v>0.8</v>
      </c>
      <c r="F34" s="478">
        <v>0.9</v>
      </c>
      <c r="G34" s="478">
        <v>0.9</v>
      </c>
    </row>
    <row r="35" spans="1:7" ht="18" customHeight="1">
      <c r="A35" s="481" t="s">
        <v>930</v>
      </c>
      <c r="B35" s="388" t="s">
        <v>956</v>
      </c>
      <c r="C35" s="693">
        <v>150.1</v>
      </c>
      <c r="D35" s="693">
        <v>153.4</v>
      </c>
      <c r="E35" s="693" t="s">
        <v>651</v>
      </c>
      <c r="F35" s="1248" t="s">
        <v>1620</v>
      </c>
      <c r="G35" s="1248" t="s">
        <v>1572</v>
      </c>
    </row>
    <row r="36" spans="1:7" ht="18" customHeight="1">
      <c r="A36" s="481" t="s">
        <v>931</v>
      </c>
      <c r="B36" s="388" t="s">
        <v>957</v>
      </c>
      <c r="C36" s="538">
        <v>5.5</v>
      </c>
      <c r="D36" s="538">
        <v>5.5</v>
      </c>
      <c r="E36" s="538">
        <v>5.5</v>
      </c>
      <c r="F36" s="538">
        <v>5.5</v>
      </c>
      <c r="G36" s="538">
        <v>5.5</v>
      </c>
    </row>
    <row r="37" spans="1:7" ht="18" customHeight="1">
      <c r="A37" s="481" t="s">
        <v>932</v>
      </c>
      <c r="B37" s="388" t="s">
        <v>958</v>
      </c>
      <c r="C37" s="538">
        <v>3.4</v>
      </c>
      <c r="D37" s="538">
        <v>3.5</v>
      </c>
      <c r="E37" s="538">
        <v>3.6</v>
      </c>
      <c r="F37" s="538">
        <v>3.6</v>
      </c>
      <c r="G37" s="538">
        <v>3.6</v>
      </c>
    </row>
    <row r="38" spans="1:7" ht="18" customHeight="1">
      <c r="A38" s="482"/>
      <c r="B38" s="544" t="s">
        <v>959</v>
      </c>
      <c r="C38" s="591">
        <f>SUM(C32:C37)</f>
        <v>1076</v>
      </c>
      <c r="D38" s="591">
        <f>SUM(D32:D37)</f>
        <v>912.4</v>
      </c>
      <c r="E38" s="591">
        <f>SUM(E32:E37)+151.7</f>
        <v>1028.8999999999999</v>
      </c>
      <c r="F38" s="591">
        <f>SUM(F32:F37)+193.1</f>
        <v>1266</v>
      </c>
      <c r="G38" s="591">
        <f>SUM(G32:G37)+209.7</f>
        <v>1227.0999999999999</v>
      </c>
    </row>
    <row r="39" spans="1:7" ht="15.95" customHeight="1">
      <c r="A39" s="1632" t="s">
        <v>339</v>
      </c>
      <c r="B39" s="1632"/>
      <c r="D39" s="886" t="s">
        <v>960</v>
      </c>
      <c r="E39" s="500" t="s">
        <v>635</v>
      </c>
      <c r="F39" s="500"/>
      <c r="G39" s="500"/>
    </row>
    <row r="40" spans="1:7" ht="13.5" customHeight="1">
      <c r="A40" s="1633"/>
      <c r="B40" s="1633"/>
      <c r="D40" s="878"/>
      <c r="E40" s="500" t="s">
        <v>961</v>
      </c>
      <c r="F40" s="500"/>
      <c r="G40" s="878"/>
    </row>
    <row r="41" spans="1:7" ht="15.95" customHeight="1">
      <c r="A41" s="500" t="s">
        <v>540</v>
      </c>
      <c r="B41" s="500"/>
      <c r="E41" s="500" t="s">
        <v>825</v>
      </c>
    </row>
    <row r="42" spans="1:7" ht="15.95" customHeight="1">
      <c r="B42" s="878"/>
    </row>
    <row r="43" spans="1:7" ht="15.95" customHeight="1"/>
  </sheetData>
  <mergeCells count="6">
    <mergeCell ref="A1:G1"/>
    <mergeCell ref="A2:G2"/>
    <mergeCell ref="A39:B40"/>
    <mergeCell ref="A4:B4"/>
    <mergeCell ref="A5:B5"/>
    <mergeCell ref="A31:B31"/>
  </mergeCells>
  <phoneticPr fontId="0" type="noConversion"/>
  <conditionalFormatting sqref="A1:XFD1048576">
    <cfRule type="cellIs" dxfId="10" priority="1" stopIfTrue="1" operator="equal">
      <formula>".."</formula>
    </cfRule>
  </conditionalFormatting>
  <printOptions horizontalCentered="1"/>
  <pageMargins left="0.1" right="0.1" top="0.82" bottom="0.1" header="0.48" footer="0.1"/>
  <pageSetup paperSize="9" orientation="portrait" blackAndWhite="1" r:id="rId1"/>
  <headerFooter alignWithMargins="0"/>
</worksheet>
</file>

<file path=xl/worksheets/sheet42.xml><?xml version="1.0" encoding="utf-8"?>
<worksheet xmlns="http://schemas.openxmlformats.org/spreadsheetml/2006/main" xmlns:r="http://schemas.openxmlformats.org/officeDocument/2006/relationships">
  <sheetPr codeName="Sheet46"/>
  <dimension ref="A1:J41"/>
  <sheetViews>
    <sheetView topLeftCell="A28" workbookViewId="0">
      <selection activeCell="J29" sqref="J29"/>
    </sheetView>
  </sheetViews>
  <sheetFormatPr defaultRowHeight="12.75"/>
  <cols>
    <col min="1" max="1" width="3.42578125" customWidth="1"/>
    <col min="2" max="2" width="23.42578125" customWidth="1"/>
    <col min="3" max="7" width="12.28515625" customWidth="1"/>
  </cols>
  <sheetData>
    <row r="1" spans="1:10">
      <c r="A1" s="1361" t="s">
        <v>429</v>
      </c>
      <c r="B1" s="1361"/>
      <c r="C1" s="1361"/>
      <c r="D1" s="1361"/>
      <c r="E1" s="1361"/>
      <c r="F1" s="1361"/>
      <c r="G1" s="1361"/>
    </row>
    <row r="2" spans="1:10" ht="15.75" customHeight="1">
      <c r="A2" s="1354" t="str">
        <f>CONCATENATE("Yield rates of Principal Crops in the district of ",District!A1)</f>
        <v>Yield rates of Principal Crops in the district of Jalpaiguri</v>
      </c>
      <c r="B2" s="1354"/>
      <c r="C2" s="1354"/>
      <c r="D2" s="1354"/>
      <c r="E2" s="1354"/>
      <c r="F2" s="1354"/>
      <c r="G2" s="1354"/>
      <c r="H2" s="23"/>
      <c r="I2" s="23"/>
      <c r="J2" s="23"/>
    </row>
    <row r="3" spans="1:10" ht="12" customHeight="1">
      <c r="A3" s="359"/>
      <c r="B3" s="359"/>
      <c r="C3" s="359"/>
      <c r="D3" s="359"/>
      <c r="E3" s="359"/>
      <c r="F3" s="475"/>
      <c r="G3" s="1043" t="s">
        <v>963</v>
      </c>
    </row>
    <row r="4" spans="1:10" ht="15.75" customHeight="1">
      <c r="A4" s="1630" t="s">
        <v>935</v>
      </c>
      <c r="B4" s="1631"/>
      <c r="C4" s="406" t="s">
        <v>1110</v>
      </c>
      <c r="D4" s="406" t="s">
        <v>1111</v>
      </c>
      <c r="E4" s="406" t="s">
        <v>641</v>
      </c>
      <c r="F4" s="406" t="s">
        <v>909</v>
      </c>
      <c r="G4" s="406" t="s">
        <v>895</v>
      </c>
    </row>
    <row r="5" spans="1:10" ht="15.75" customHeight="1">
      <c r="A5" s="1385" t="s">
        <v>278</v>
      </c>
      <c r="B5" s="1440"/>
      <c r="C5" s="57" t="s">
        <v>279</v>
      </c>
      <c r="D5" s="87" t="s">
        <v>280</v>
      </c>
      <c r="E5" s="57" t="s">
        <v>281</v>
      </c>
      <c r="F5" s="57" t="s">
        <v>282</v>
      </c>
      <c r="G5" s="58" t="s">
        <v>283</v>
      </c>
    </row>
    <row r="6" spans="1:10" ht="18" customHeight="1">
      <c r="A6" s="259" t="s">
        <v>926</v>
      </c>
      <c r="B6" s="278"/>
      <c r="C6" s="437"/>
      <c r="D6" s="437"/>
      <c r="E6" s="304"/>
      <c r="F6" s="304"/>
      <c r="G6" s="476"/>
    </row>
    <row r="7" spans="1:10" ht="18" customHeight="1">
      <c r="A7" s="281" t="s">
        <v>927</v>
      </c>
      <c r="B7" s="483" t="s">
        <v>936</v>
      </c>
      <c r="C7" s="211">
        <v>1913</v>
      </c>
      <c r="D7" s="211">
        <v>2203</v>
      </c>
      <c r="E7" s="211">
        <v>2091</v>
      </c>
      <c r="F7" s="211">
        <v>2161</v>
      </c>
      <c r="G7" s="211">
        <v>2278</v>
      </c>
    </row>
    <row r="8" spans="1:10" ht="18" customHeight="1">
      <c r="A8" s="281"/>
      <c r="B8" s="388" t="s">
        <v>937</v>
      </c>
      <c r="C8" s="48">
        <v>1481</v>
      </c>
      <c r="D8" s="48">
        <v>1865</v>
      </c>
      <c r="E8" s="48">
        <v>1851</v>
      </c>
      <c r="F8" s="48">
        <v>1888</v>
      </c>
      <c r="G8" s="48">
        <v>1960</v>
      </c>
    </row>
    <row r="9" spans="1:10" ht="18" customHeight="1">
      <c r="A9" s="281"/>
      <c r="B9" s="388" t="s">
        <v>938</v>
      </c>
      <c r="C9" s="48">
        <v>1941</v>
      </c>
      <c r="D9" s="48">
        <v>2268</v>
      </c>
      <c r="E9" s="48">
        <v>2136</v>
      </c>
      <c r="F9" s="48">
        <v>2132</v>
      </c>
      <c r="G9" s="48">
        <v>2336</v>
      </c>
    </row>
    <row r="10" spans="1:10" ht="18" customHeight="1">
      <c r="A10" s="281"/>
      <c r="B10" s="388" t="s">
        <v>939</v>
      </c>
      <c r="C10" s="48">
        <v>2470</v>
      </c>
      <c r="D10" s="48">
        <v>2148</v>
      </c>
      <c r="E10" s="48">
        <v>2038</v>
      </c>
      <c r="F10" s="48">
        <v>2849</v>
      </c>
      <c r="G10" s="48">
        <v>2224</v>
      </c>
    </row>
    <row r="11" spans="1:10" ht="18" customHeight="1">
      <c r="A11" s="281" t="s">
        <v>928</v>
      </c>
      <c r="B11" s="388" t="s">
        <v>940</v>
      </c>
      <c r="C11" s="48">
        <v>2269</v>
      </c>
      <c r="D11" s="48">
        <v>2301</v>
      </c>
      <c r="E11" s="48">
        <v>2492</v>
      </c>
      <c r="F11" s="48">
        <v>2233</v>
      </c>
      <c r="G11" s="48">
        <v>2314</v>
      </c>
    </row>
    <row r="12" spans="1:10" ht="18" customHeight="1">
      <c r="A12" s="281" t="s">
        <v>929</v>
      </c>
      <c r="B12" s="388" t="s">
        <v>941</v>
      </c>
      <c r="C12" s="48">
        <v>1129</v>
      </c>
      <c r="D12" s="48">
        <v>1358</v>
      </c>
      <c r="E12" s="48">
        <v>1350</v>
      </c>
      <c r="F12" s="48">
        <v>1273</v>
      </c>
      <c r="G12" s="48">
        <v>1375</v>
      </c>
    </row>
    <row r="13" spans="1:10" ht="18" customHeight="1">
      <c r="A13" s="281" t="s">
        <v>930</v>
      </c>
      <c r="B13" s="388" t="s">
        <v>942</v>
      </c>
      <c r="C13" s="48">
        <v>2008</v>
      </c>
      <c r="D13" s="48">
        <v>3202</v>
      </c>
      <c r="E13" s="48">
        <v>2553</v>
      </c>
      <c r="F13" s="48">
        <v>2621</v>
      </c>
      <c r="G13" s="48">
        <v>3386</v>
      </c>
    </row>
    <row r="14" spans="1:10" ht="18" customHeight="1">
      <c r="A14" s="281" t="s">
        <v>931</v>
      </c>
      <c r="B14" s="388" t="s">
        <v>943</v>
      </c>
      <c r="C14" s="48">
        <v>860</v>
      </c>
      <c r="D14" s="48">
        <v>784</v>
      </c>
      <c r="E14" s="48">
        <v>845</v>
      </c>
      <c r="F14" s="48">
        <v>822</v>
      </c>
      <c r="G14" s="48">
        <v>500</v>
      </c>
    </row>
    <row r="15" spans="1:10" ht="18" customHeight="1">
      <c r="A15" s="1634" t="s">
        <v>944</v>
      </c>
      <c r="B15" s="1523"/>
      <c r="C15" s="211">
        <v>1938</v>
      </c>
      <c r="D15" s="211">
        <v>2259</v>
      </c>
      <c r="E15" s="211">
        <v>2141</v>
      </c>
      <c r="F15" s="211">
        <v>2187</v>
      </c>
      <c r="G15" s="211">
        <v>2333</v>
      </c>
    </row>
    <row r="16" spans="1:10" ht="18" customHeight="1">
      <c r="A16" s="281" t="s">
        <v>932</v>
      </c>
      <c r="B16" s="388" t="s">
        <v>310</v>
      </c>
      <c r="C16" s="48">
        <v>1457</v>
      </c>
      <c r="D16" s="48">
        <v>875</v>
      </c>
      <c r="E16" s="48">
        <v>1089</v>
      </c>
      <c r="F16" s="48">
        <v>1395</v>
      </c>
      <c r="G16" s="48">
        <v>1118</v>
      </c>
    </row>
    <row r="17" spans="1:7" ht="18" customHeight="1">
      <c r="A17" s="281" t="s">
        <v>933</v>
      </c>
      <c r="B17" s="388" t="s">
        <v>945</v>
      </c>
      <c r="C17" s="48">
        <v>1100</v>
      </c>
      <c r="D17" s="48">
        <v>1094</v>
      </c>
      <c r="E17" s="48">
        <v>488</v>
      </c>
      <c r="F17" s="48">
        <v>1359</v>
      </c>
      <c r="G17" s="1244" t="s">
        <v>570</v>
      </c>
    </row>
    <row r="18" spans="1:7" ht="18" customHeight="1">
      <c r="A18" s="281" t="s">
        <v>934</v>
      </c>
      <c r="B18" s="388" t="s">
        <v>946</v>
      </c>
      <c r="C18" s="48">
        <v>500</v>
      </c>
      <c r="D18" s="48">
        <v>613</v>
      </c>
      <c r="E18" s="48">
        <v>658</v>
      </c>
      <c r="F18" s="48">
        <v>590</v>
      </c>
      <c r="G18" s="48">
        <v>660</v>
      </c>
    </row>
    <row r="19" spans="1:7" ht="18" customHeight="1">
      <c r="A19" s="284"/>
      <c r="B19" s="542" t="s">
        <v>947</v>
      </c>
      <c r="C19" s="211">
        <v>512</v>
      </c>
      <c r="D19" s="211">
        <v>616</v>
      </c>
      <c r="E19" s="211">
        <v>660</v>
      </c>
      <c r="F19" s="211">
        <v>612</v>
      </c>
      <c r="G19" s="211">
        <v>657</v>
      </c>
    </row>
    <row r="20" spans="1:7" ht="18" customHeight="1">
      <c r="A20" s="284"/>
      <c r="B20" s="542" t="s">
        <v>948</v>
      </c>
      <c r="C20" s="211">
        <v>1914</v>
      </c>
      <c r="D20" s="211">
        <v>2232</v>
      </c>
      <c r="E20" s="211">
        <v>2116</v>
      </c>
      <c r="F20" s="211">
        <v>2158</v>
      </c>
      <c r="G20" s="211">
        <v>2303</v>
      </c>
    </row>
    <row r="21" spans="1:7" ht="18" customHeight="1">
      <c r="A21" s="259" t="s">
        <v>1087</v>
      </c>
      <c r="B21" s="388"/>
      <c r="C21" s="48"/>
      <c r="D21" s="48"/>
      <c r="E21" s="48"/>
      <c r="F21" s="48"/>
      <c r="G21" s="48"/>
    </row>
    <row r="22" spans="1:7" ht="18" customHeight="1">
      <c r="A22" s="288" t="s">
        <v>927</v>
      </c>
      <c r="B22" s="388" t="s">
        <v>132</v>
      </c>
      <c r="C22" s="48">
        <v>597</v>
      </c>
      <c r="D22" s="48">
        <v>626</v>
      </c>
      <c r="E22" s="48">
        <v>650</v>
      </c>
      <c r="F22" s="48">
        <v>682</v>
      </c>
      <c r="G22" s="48">
        <v>664</v>
      </c>
    </row>
    <row r="23" spans="1:7" ht="18" customHeight="1">
      <c r="A23" s="288" t="s">
        <v>928</v>
      </c>
      <c r="B23" s="388" t="s">
        <v>1473</v>
      </c>
      <c r="C23" s="48">
        <v>277</v>
      </c>
      <c r="D23" s="48">
        <v>304</v>
      </c>
      <c r="E23" s="48">
        <v>307</v>
      </c>
      <c r="F23" s="48">
        <v>286</v>
      </c>
      <c r="G23" s="48">
        <v>281</v>
      </c>
    </row>
    <row r="24" spans="1:7" ht="18" customHeight="1">
      <c r="A24" s="288" t="s">
        <v>929</v>
      </c>
      <c r="B24" s="388" t="s">
        <v>949</v>
      </c>
      <c r="C24" s="48">
        <v>923</v>
      </c>
      <c r="D24" s="48">
        <v>1460</v>
      </c>
      <c r="E24" s="48">
        <v>1184</v>
      </c>
      <c r="F24" s="48">
        <v>1496</v>
      </c>
      <c r="G24" s="48">
        <v>1559</v>
      </c>
    </row>
    <row r="25" spans="1:7" ht="18" customHeight="1">
      <c r="A25" s="284"/>
      <c r="B25" s="542" t="s">
        <v>950</v>
      </c>
      <c r="C25" s="211">
        <v>666</v>
      </c>
      <c r="D25" s="211">
        <v>966</v>
      </c>
      <c r="E25" s="211">
        <v>846</v>
      </c>
      <c r="F25" s="211">
        <v>994</v>
      </c>
      <c r="G25" s="211">
        <v>1011</v>
      </c>
    </row>
    <row r="26" spans="1:7" ht="18" customHeight="1">
      <c r="A26" s="259" t="s">
        <v>386</v>
      </c>
      <c r="B26" s="542"/>
      <c r="C26" s="48"/>
      <c r="D26" s="48"/>
      <c r="E26" s="48"/>
      <c r="F26" s="48"/>
      <c r="G26" s="48"/>
    </row>
    <row r="27" spans="1:7" ht="18" customHeight="1">
      <c r="A27" s="288" t="s">
        <v>927</v>
      </c>
      <c r="B27" s="388" t="s">
        <v>951</v>
      </c>
      <c r="C27" s="48">
        <v>13.1</v>
      </c>
      <c r="D27" s="48">
        <v>12.1</v>
      </c>
      <c r="E27" s="48">
        <v>12.5</v>
      </c>
      <c r="F27" s="48">
        <v>12.5</v>
      </c>
      <c r="G27" s="308">
        <v>12.02</v>
      </c>
    </row>
    <row r="28" spans="1:7" ht="18" customHeight="1">
      <c r="A28" s="288" t="s">
        <v>928</v>
      </c>
      <c r="B28" s="388" t="s">
        <v>952</v>
      </c>
      <c r="C28" s="48">
        <v>10.9</v>
      </c>
      <c r="D28" s="308">
        <v>12</v>
      </c>
      <c r="E28" s="308">
        <v>10.3</v>
      </c>
      <c r="F28" s="308">
        <v>10.3</v>
      </c>
      <c r="G28" s="308">
        <v>9.98</v>
      </c>
    </row>
    <row r="29" spans="1:7" ht="18" customHeight="1">
      <c r="A29" s="288" t="s">
        <v>929</v>
      </c>
      <c r="B29" s="388" t="s">
        <v>812</v>
      </c>
      <c r="C29" s="48" t="s">
        <v>570</v>
      </c>
      <c r="D29" s="48" t="s">
        <v>570</v>
      </c>
      <c r="E29" s="48" t="s">
        <v>570</v>
      </c>
      <c r="F29" s="48" t="s">
        <v>570</v>
      </c>
      <c r="G29" s="48" t="s">
        <v>570</v>
      </c>
    </row>
    <row r="30" spans="1:7" ht="18" customHeight="1">
      <c r="A30" s="284"/>
      <c r="B30" s="542" t="s">
        <v>813</v>
      </c>
      <c r="C30" s="211">
        <v>13.1</v>
      </c>
      <c r="D30" s="211">
        <v>12.1</v>
      </c>
      <c r="E30" s="211">
        <v>13.1</v>
      </c>
      <c r="F30" s="211">
        <v>12.5</v>
      </c>
      <c r="G30" s="546">
        <v>12</v>
      </c>
    </row>
    <row r="31" spans="1:7" ht="18" customHeight="1">
      <c r="A31" s="259" t="s">
        <v>1088</v>
      </c>
      <c r="B31" s="388"/>
      <c r="C31" s="48"/>
      <c r="D31" s="48"/>
      <c r="E31" s="48"/>
      <c r="F31" s="48"/>
      <c r="G31" s="48"/>
    </row>
    <row r="32" spans="1:7" ht="18" customHeight="1">
      <c r="A32" s="288" t="s">
        <v>927</v>
      </c>
      <c r="B32" s="388" t="s">
        <v>953</v>
      </c>
      <c r="C32" s="48">
        <v>98701</v>
      </c>
      <c r="D32" s="48">
        <v>98925</v>
      </c>
      <c r="E32" s="48">
        <v>116395</v>
      </c>
      <c r="F32" s="48">
        <v>104567</v>
      </c>
      <c r="G32" s="48">
        <v>102366</v>
      </c>
    </row>
    <row r="33" spans="1:7" ht="18" customHeight="1">
      <c r="A33" s="288" t="s">
        <v>928</v>
      </c>
      <c r="B33" s="388" t="s">
        <v>954</v>
      </c>
      <c r="C33" s="48">
        <v>27996</v>
      </c>
      <c r="D33" s="48">
        <v>23141</v>
      </c>
      <c r="E33" s="48">
        <v>26531</v>
      </c>
      <c r="F33" s="48">
        <v>31214</v>
      </c>
      <c r="G33" s="48">
        <v>24710</v>
      </c>
    </row>
    <row r="34" spans="1:7" ht="18" customHeight="1">
      <c r="A34" s="288" t="s">
        <v>929</v>
      </c>
      <c r="B34" s="388" t="s">
        <v>955</v>
      </c>
      <c r="C34" s="48">
        <v>1512</v>
      </c>
      <c r="D34" s="48">
        <v>1067</v>
      </c>
      <c r="E34" s="48">
        <v>1729</v>
      </c>
      <c r="F34" s="48">
        <v>1420</v>
      </c>
      <c r="G34" s="48">
        <v>1384</v>
      </c>
    </row>
    <row r="35" spans="1:7" ht="18" customHeight="1">
      <c r="A35" s="288" t="s">
        <v>930</v>
      </c>
      <c r="B35" s="388" t="s">
        <v>956</v>
      </c>
      <c r="C35" s="216">
        <v>1940</v>
      </c>
      <c r="D35" s="216">
        <v>1985</v>
      </c>
      <c r="E35" s="216" t="s">
        <v>652</v>
      </c>
      <c r="F35" s="815" t="s">
        <v>1622</v>
      </c>
      <c r="G35" s="815" t="s">
        <v>1621</v>
      </c>
    </row>
    <row r="36" spans="1:7" ht="18" customHeight="1">
      <c r="A36" s="288" t="s">
        <v>931</v>
      </c>
      <c r="B36" s="388" t="s">
        <v>957</v>
      </c>
      <c r="C36" s="48">
        <v>1007</v>
      </c>
      <c r="D36" s="48">
        <v>1009</v>
      </c>
      <c r="E36" s="48">
        <v>1000</v>
      </c>
      <c r="F36" s="48">
        <v>1009</v>
      </c>
      <c r="G36" s="48">
        <v>1009</v>
      </c>
    </row>
    <row r="37" spans="1:7" ht="18" customHeight="1">
      <c r="A37" s="288" t="s">
        <v>932</v>
      </c>
      <c r="B37" s="388" t="s">
        <v>958</v>
      </c>
      <c r="C37" s="48">
        <v>2325</v>
      </c>
      <c r="D37" s="48">
        <v>2345</v>
      </c>
      <c r="E37" s="48">
        <v>2340</v>
      </c>
      <c r="F37" s="48">
        <v>2340</v>
      </c>
      <c r="G37" s="48">
        <v>2348</v>
      </c>
    </row>
    <row r="38" spans="1:7" ht="18" customHeight="1">
      <c r="A38" s="303"/>
      <c r="B38" s="999" t="s">
        <v>959</v>
      </c>
      <c r="C38" s="251">
        <v>9165</v>
      </c>
      <c r="D38" s="251">
        <v>7812</v>
      </c>
      <c r="E38" s="251">
        <v>8802</v>
      </c>
      <c r="F38" s="1258" t="s">
        <v>1624</v>
      </c>
      <c r="G38" s="251">
        <v>8617</v>
      </c>
    </row>
    <row r="39" spans="1:7">
      <c r="A39" s="500" t="s">
        <v>964</v>
      </c>
      <c r="B39" s="500"/>
      <c r="C39" s="359"/>
      <c r="D39" s="886" t="s">
        <v>960</v>
      </c>
      <c r="E39" s="500" t="s">
        <v>635</v>
      </c>
      <c r="F39" s="408"/>
      <c r="G39" s="408"/>
    </row>
    <row r="40" spans="1:7">
      <c r="A40" s="942" t="s">
        <v>1623</v>
      </c>
      <c r="B40" s="359"/>
      <c r="C40" s="359"/>
      <c r="D40" s="500"/>
      <c r="E40" s="500" t="s">
        <v>961</v>
      </c>
      <c r="F40" s="408"/>
      <c r="G40" s="408"/>
    </row>
    <row r="41" spans="1:7">
      <c r="A41" s="1223" t="s">
        <v>1625</v>
      </c>
      <c r="B41" s="1260"/>
      <c r="C41" s="1260"/>
      <c r="E41" s="500" t="s">
        <v>825</v>
      </c>
    </row>
  </sheetData>
  <mergeCells count="5">
    <mergeCell ref="A15:B15"/>
    <mergeCell ref="A1:G1"/>
    <mergeCell ref="A4:B4"/>
    <mergeCell ref="A5:B5"/>
    <mergeCell ref="A2:G2"/>
  </mergeCells>
  <phoneticPr fontId="0" type="noConversion"/>
  <printOptions horizontalCentered="1"/>
  <pageMargins left="0.1" right="0.1" top="0.8" bottom="0.1" header="0.5" footer="0.1"/>
  <pageSetup paperSize="9" orientation="portrait" blackAndWhite="1" r:id="rId1"/>
  <headerFooter alignWithMargins="0"/>
</worksheet>
</file>

<file path=xl/worksheets/sheet43.xml><?xml version="1.0" encoding="utf-8"?>
<worksheet xmlns="http://schemas.openxmlformats.org/spreadsheetml/2006/main" xmlns:r="http://schemas.openxmlformats.org/officeDocument/2006/relationships">
  <sheetPr codeName="Sheet47" enableFormatConditionsCalculation="0"/>
  <dimension ref="A1:K30"/>
  <sheetViews>
    <sheetView topLeftCell="A25" workbookViewId="0">
      <selection activeCell="J13" sqref="J13"/>
    </sheetView>
  </sheetViews>
  <sheetFormatPr defaultRowHeight="12.75"/>
  <cols>
    <col min="1" max="1" width="17.5703125" customWidth="1"/>
    <col min="2" max="2" width="9.7109375" customWidth="1"/>
    <col min="3" max="3" width="11.42578125" customWidth="1"/>
    <col min="4" max="4" width="9.7109375" customWidth="1"/>
    <col min="5" max="5" width="11.42578125" customWidth="1"/>
    <col min="6" max="6" width="9.7109375" customWidth="1"/>
    <col min="7" max="7" width="11.42578125" customWidth="1"/>
    <col min="8" max="8" width="9.7109375" customWidth="1"/>
    <col min="9" max="9" width="14" customWidth="1"/>
    <col min="10" max="10" width="9.85546875" customWidth="1"/>
    <col min="11" max="11" width="14.28515625" customWidth="1"/>
  </cols>
  <sheetData>
    <row r="1" spans="1:11" ht="12.75" customHeight="1">
      <c r="A1" s="1524" t="s">
        <v>430</v>
      </c>
      <c r="B1" s="1524"/>
      <c r="C1" s="1524"/>
      <c r="D1" s="1524"/>
      <c r="E1" s="1524"/>
      <c r="F1" s="1524"/>
      <c r="G1" s="1524"/>
      <c r="H1" s="1524"/>
      <c r="I1" s="1524"/>
      <c r="J1" s="1524"/>
      <c r="K1" s="1524"/>
    </row>
    <row r="2" spans="1:11" ht="19.5" customHeight="1">
      <c r="A2" s="1579" t="str">
        <f>CONCATENATE("Yield rates of some Selected Crops in the district of ",District!A1," and West Bengal")</f>
        <v>Yield rates of some Selected Crops in the district of Jalpaiguri and West Bengal</v>
      </c>
      <c r="B2" s="1579"/>
      <c r="C2" s="1579"/>
      <c r="D2" s="1579"/>
      <c r="E2" s="1579"/>
      <c r="F2" s="1579"/>
      <c r="G2" s="1579"/>
      <c r="H2" s="1579"/>
      <c r="I2" s="1579"/>
      <c r="J2" s="1579"/>
      <c r="K2" s="1579"/>
    </row>
    <row r="3" spans="1:11" ht="12" customHeight="1">
      <c r="J3" s="72"/>
      <c r="K3" s="1058" t="s">
        <v>963</v>
      </c>
    </row>
    <row r="4" spans="1:11" ht="15.95" customHeight="1">
      <c r="A4" s="1288" t="s">
        <v>935</v>
      </c>
      <c r="B4" s="1290" t="s">
        <v>1110</v>
      </c>
      <c r="C4" s="1292"/>
      <c r="D4" s="1290" t="s">
        <v>1111</v>
      </c>
      <c r="E4" s="1292"/>
      <c r="F4" s="1290" t="s">
        <v>641</v>
      </c>
      <c r="G4" s="1292"/>
      <c r="H4" s="1290" t="s">
        <v>909</v>
      </c>
      <c r="I4" s="1292"/>
      <c r="J4" s="1290" t="s">
        <v>895</v>
      </c>
      <c r="K4" s="1292"/>
    </row>
    <row r="5" spans="1:11" ht="20.25" customHeight="1">
      <c r="A5" s="1301"/>
      <c r="B5" s="675" t="s">
        <v>965</v>
      </c>
      <c r="C5" s="371" t="s">
        <v>966</v>
      </c>
      <c r="D5" s="676" t="s">
        <v>965</v>
      </c>
      <c r="E5" s="371" t="s">
        <v>966</v>
      </c>
      <c r="F5" s="676" t="s">
        <v>965</v>
      </c>
      <c r="G5" s="371" t="s">
        <v>966</v>
      </c>
      <c r="H5" s="676" t="s">
        <v>965</v>
      </c>
      <c r="I5" s="1264" t="s">
        <v>966</v>
      </c>
      <c r="J5" s="675" t="s">
        <v>965</v>
      </c>
      <c r="K5" s="1264" t="s">
        <v>966</v>
      </c>
    </row>
    <row r="6" spans="1:11" ht="15.95" customHeight="1">
      <c r="A6" s="154" t="s">
        <v>278</v>
      </c>
      <c r="B6" s="159" t="s">
        <v>279</v>
      </c>
      <c r="C6" s="161" t="s">
        <v>280</v>
      </c>
      <c r="D6" s="160" t="s">
        <v>281</v>
      </c>
      <c r="E6" s="161" t="s">
        <v>282</v>
      </c>
      <c r="F6" s="160" t="s">
        <v>283</v>
      </c>
      <c r="G6" s="58" t="s">
        <v>284</v>
      </c>
      <c r="H6" s="153" t="s">
        <v>301</v>
      </c>
      <c r="I6" s="60" t="s">
        <v>302</v>
      </c>
      <c r="J6" s="1249" t="s">
        <v>303</v>
      </c>
      <c r="K6" s="60" t="s">
        <v>304</v>
      </c>
    </row>
    <row r="7" spans="1:11" ht="20.25" customHeight="1">
      <c r="A7" s="91" t="s">
        <v>936</v>
      </c>
      <c r="B7" s="148">
        <v>1913</v>
      </c>
      <c r="C7" s="48">
        <v>2547</v>
      </c>
      <c r="D7" s="148">
        <v>2203</v>
      </c>
      <c r="E7" s="48">
        <v>2708</v>
      </c>
      <c r="F7" s="148">
        <v>2091</v>
      </c>
      <c r="G7" s="48">
        <v>2688</v>
      </c>
      <c r="H7" s="148">
        <v>2161</v>
      </c>
      <c r="I7" s="1246">
        <v>2745</v>
      </c>
      <c r="J7" s="1250">
        <v>2278</v>
      </c>
      <c r="K7" s="1245">
        <v>2789</v>
      </c>
    </row>
    <row r="8" spans="1:11" ht="20.25" customHeight="1">
      <c r="A8" s="91" t="s">
        <v>940</v>
      </c>
      <c r="B8" s="148">
        <v>2269</v>
      </c>
      <c r="C8" s="48">
        <v>2680</v>
      </c>
      <c r="D8" s="148">
        <v>2301</v>
      </c>
      <c r="E8" s="48">
        <v>2760</v>
      </c>
      <c r="F8" s="148">
        <v>2492</v>
      </c>
      <c r="G8" s="48">
        <v>2765</v>
      </c>
      <c r="H8" s="148">
        <v>2233</v>
      </c>
      <c r="I8" s="48">
        <v>2786</v>
      </c>
      <c r="J8" s="148">
        <v>2314</v>
      </c>
      <c r="K8" s="1245">
        <v>2799</v>
      </c>
    </row>
    <row r="9" spans="1:11" ht="20.25" customHeight="1">
      <c r="A9" s="91" t="s">
        <v>310</v>
      </c>
      <c r="B9" s="148">
        <v>1457</v>
      </c>
      <c r="C9" s="48">
        <v>1110</v>
      </c>
      <c r="D9" s="148">
        <v>875</v>
      </c>
      <c r="E9" s="48">
        <v>1069</v>
      </c>
      <c r="F9" s="148">
        <v>1089</v>
      </c>
      <c r="G9" s="48">
        <v>1049</v>
      </c>
      <c r="H9" s="148">
        <v>1395</v>
      </c>
      <c r="I9" s="48">
        <v>1176</v>
      </c>
      <c r="J9" s="148">
        <v>1118</v>
      </c>
      <c r="K9" s="1245">
        <v>1175</v>
      </c>
    </row>
    <row r="10" spans="1:11" ht="20.25" customHeight="1">
      <c r="A10" s="91" t="s">
        <v>951</v>
      </c>
      <c r="B10" s="148">
        <v>2358</v>
      </c>
      <c r="C10" s="48">
        <v>2573</v>
      </c>
      <c r="D10" s="148">
        <v>2178</v>
      </c>
      <c r="E10" s="48">
        <v>2576</v>
      </c>
      <c r="F10" s="148">
        <v>2250</v>
      </c>
      <c r="G10" s="48">
        <v>2572</v>
      </c>
      <c r="H10" s="413">
        <v>2244</v>
      </c>
      <c r="I10" s="48">
        <v>2569</v>
      </c>
      <c r="J10" s="413">
        <v>2160</v>
      </c>
      <c r="K10" s="1245">
        <v>2788</v>
      </c>
    </row>
    <row r="11" spans="1:11" ht="29.25" customHeight="1">
      <c r="A11" s="522" t="s">
        <v>1457</v>
      </c>
      <c r="B11" s="148">
        <v>597</v>
      </c>
      <c r="C11" s="48">
        <v>850</v>
      </c>
      <c r="D11" s="148">
        <v>626</v>
      </c>
      <c r="E11" s="48">
        <v>1021</v>
      </c>
      <c r="F11" s="148">
        <v>650</v>
      </c>
      <c r="G11" s="48">
        <v>908</v>
      </c>
      <c r="H11" s="148">
        <v>682</v>
      </c>
      <c r="I11" s="48">
        <v>1062</v>
      </c>
      <c r="J11" s="148">
        <v>664</v>
      </c>
      <c r="K11" s="1245">
        <v>1066</v>
      </c>
    </row>
    <row r="12" spans="1:11" ht="20.25" customHeight="1">
      <c r="A12" s="91" t="s">
        <v>954</v>
      </c>
      <c r="B12" s="148">
        <v>27996</v>
      </c>
      <c r="C12" s="48">
        <v>35768</v>
      </c>
      <c r="D12" s="148">
        <v>23141</v>
      </c>
      <c r="E12" s="48">
        <v>32831</v>
      </c>
      <c r="F12" s="148">
        <v>26531</v>
      </c>
      <c r="G12" s="48">
        <v>25641</v>
      </c>
      <c r="H12" s="148">
        <v>31214</v>
      </c>
      <c r="I12" s="48">
        <v>29869</v>
      </c>
      <c r="J12" s="148">
        <v>24710</v>
      </c>
      <c r="K12" s="1245">
        <v>21955</v>
      </c>
    </row>
    <row r="13" spans="1:11" ht="20.25" customHeight="1">
      <c r="A13" s="275" t="s">
        <v>956</v>
      </c>
      <c r="B13" s="244">
        <v>1940</v>
      </c>
      <c r="C13" s="236" t="s">
        <v>826</v>
      </c>
      <c r="D13" s="244">
        <v>1985</v>
      </c>
      <c r="E13" s="236" t="s">
        <v>209</v>
      </c>
      <c r="F13" s="244" t="s">
        <v>805</v>
      </c>
      <c r="G13" s="236">
        <v>1961</v>
      </c>
      <c r="H13" s="1251" t="s">
        <v>1626</v>
      </c>
      <c r="I13" s="236">
        <v>2045</v>
      </c>
      <c r="J13" s="1251" t="s">
        <v>1621</v>
      </c>
      <c r="K13" s="1247">
        <v>2222</v>
      </c>
    </row>
    <row r="14" spans="1:11" ht="14.1" customHeight="1">
      <c r="A14" s="942" t="s">
        <v>1627</v>
      </c>
      <c r="C14" s="10"/>
      <c r="H14" s="875" t="s">
        <v>960</v>
      </c>
      <c r="I14" s="995" t="s">
        <v>635</v>
      </c>
      <c r="J14" s="995"/>
      <c r="K14" s="995"/>
    </row>
    <row r="15" spans="1:11">
      <c r="H15" s="878"/>
      <c r="I15" s="878" t="s">
        <v>961</v>
      </c>
      <c r="J15" s="878"/>
      <c r="K15" s="878"/>
    </row>
    <row r="16" spans="1:11">
      <c r="H16" s="878"/>
      <c r="I16" s="500" t="s">
        <v>825</v>
      </c>
      <c r="J16" s="878"/>
      <c r="K16" s="878"/>
    </row>
    <row r="17" spans="1:11">
      <c r="G17" s="55"/>
      <c r="H17" s="55"/>
      <c r="I17" s="55"/>
      <c r="J17" s="55"/>
      <c r="K17" s="55"/>
    </row>
    <row r="18" spans="1:11">
      <c r="A18" s="1524" t="s">
        <v>431</v>
      </c>
      <c r="B18" s="1524"/>
      <c r="C18" s="1524"/>
      <c r="D18" s="1524"/>
      <c r="E18" s="1524"/>
      <c r="F18" s="1524"/>
      <c r="G18" s="1524"/>
      <c r="H18" s="1524"/>
      <c r="I18" s="1524"/>
      <c r="J18" s="1524"/>
      <c r="K18" s="1524"/>
    </row>
    <row r="19" spans="1:11" ht="18" customHeight="1">
      <c r="A19" s="1311" t="str">
        <f>CONCATENATE("Index Numbers of Agricultural Area, Production &amp; Productivity in the district of ",District!$A$1)</f>
        <v>Index Numbers of Agricultural Area, Production &amp; Productivity in the district of Jalpaiguri</v>
      </c>
      <c r="B19" s="1311"/>
      <c r="C19" s="1311"/>
      <c r="D19" s="1311"/>
      <c r="E19" s="1311"/>
      <c r="F19" s="1311"/>
      <c r="G19" s="1311"/>
      <c r="H19" s="1311"/>
      <c r="I19" s="1311"/>
      <c r="J19" s="1311"/>
      <c r="K19" s="1311"/>
    </row>
    <row r="20" spans="1:11" ht="15.75" customHeight="1">
      <c r="A20" s="1635" t="s">
        <v>94</v>
      </c>
      <c r="B20" s="1635"/>
      <c r="C20" s="1635"/>
      <c r="D20" s="1635"/>
      <c r="E20" s="1635"/>
      <c r="F20" s="1635"/>
      <c r="G20" s="1635"/>
      <c r="H20" s="1635"/>
      <c r="I20" s="1635"/>
      <c r="J20" s="1635"/>
      <c r="K20" s="1635"/>
    </row>
    <row r="21" spans="1:11" ht="17.100000000000001" customHeight="1">
      <c r="A21" s="1293" t="s">
        <v>98</v>
      </c>
      <c r="B21" s="1294"/>
      <c r="C21" s="1445" t="s">
        <v>1479</v>
      </c>
      <c r="D21" s="1444"/>
      <c r="E21" s="1446"/>
      <c r="F21" s="1283" t="s">
        <v>998</v>
      </c>
      <c r="G21" s="1444"/>
      <c r="H21" s="1446"/>
      <c r="I21" s="1445" t="s">
        <v>96</v>
      </c>
      <c r="J21" s="1444"/>
      <c r="K21" s="1446"/>
    </row>
    <row r="22" spans="1:11" ht="20.25" customHeight="1">
      <c r="A22" s="1503"/>
      <c r="B22" s="1505"/>
      <c r="C22" s="362" t="s">
        <v>95</v>
      </c>
      <c r="D22" s="1636" t="s">
        <v>133</v>
      </c>
      <c r="E22" s="1631"/>
      <c r="F22" s="636" t="s">
        <v>95</v>
      </c>
      <c r="G22" s="1636" t="s">
        <v>133</v>
      </c>
      <c r="H22" s="1631"/>
      <c r="I22" s="362" t="s">
        <v>95</v>
      </c>
      <c r="J22" s="1636" t="s">
        <v>133</v>
      </c>
      <c r="K22" s="1631"/>
    </row>
    <row r="23" spans="1:11" ht="17.100000000000001" customHeight="1">
      <c r="A23" s="1385" t="s">
        <v>278</v>
      </c>
      <c r="B23" s="1386"/>
      <c r="C23" s="92" t="s">
        <v>279</v>
      </c>
      <c r="D23" s="1424" t="s">
        <v>280</v>
      </c>
      <c r="E23" s="1386"/>
      <c r="F23" s="159" t="s">
        <v>281</v>
      </c>
      <c r="G23" s="1424" t="s">
        <v>282</v>
      </c>
      <c r="H23" s="1386"/>
      <c r="I23" s="92" t="s">
        <v>283</v>
      </c>
      <c r="J23" s="1424" t="s">
        <v>284</v>
      </c>
      <c r="K23" s="1386"/>
    </row>
    <row r="24" spans="1:11" ht="21.75" customHeight="1">
      <c r="A24" s="1609" t="s">
        <v>1110</v>
      </c>
      <c r="B24" s="1610"/>
      <c r="C24" s="232">
        <v>88.33</v>
      </c>
      <c r="D24" s="1637" t="s">
        <v>756</v>
      </c>
      <c r="E24" s="1638"/>
      <c r="F24" s="585">
        <v>469.52</v>
      </c>
      <c r="G24" s="1314" t="s">
        <v>759</v>
      </c>
      <c r="H24" s="1316"/>
      <c r="I24" s="232">
        <v>531.54999999999995</v>
      </c>
      <c r="J24" s="1639" t="s">
        <v>762</v>
      </c>
      <c r="K24" s="1371"/>
    </row>
    <row r="25" spans="1:11" ht="21.75" customHeight="1">
      <c r="A25" s="1609" t="s">
        <v>1111</v>
      </c>
      <c r="B25" s="1610"/>
      <c r="C25" s="232">
        <v>88.18</v>
      </c>
      <c r="D25" s="1637" t="s">
        <v>757</v>
      </c>
      <c r="E25" s="1638"/>
      <c r="F25" s="225">
        <v>395.71</v>
      </c>
      <c r="G25" s="1314" t="s">
        <v>760</v>
      </c>
      <c r="H25" s="1316"/>
      <c r="I25" s="232">
        <v>448.75</v>
      </c>
      <c r="J25" s="1314" t="s">
        <v>763</v>
      </c>
      <c r="K25" s="1316"/>
    </row>
    <row r="26" spans="1:11" ht="21.75" customHeight="1">
      <c r="A26" s="1609" t="s">
        <v>641</v>
      </c>
      <c r="B26" s="1610"/>
      <c r="C26" s="232">
        <v>88.29</v>
      </c>
      <c r="D26" s="1637" t="s">
        <v>758</v>
      </c>
      <c r="E26" s="1638"/>
      <c r="F26" s="217">
        <v>371.44</v>
      </c>
      <c r="G26" s="1314" t="s">
        <v>761</v>
      </c>
      <c r="H26" s="1316"/>
      <c r="I26" s="585">
        <v>420.7</v>
      </c>
      <c r="J26" s="1314" t="s">
        <v>764</v>
      </c>
      <c r="K26" s="1316"/>
    </row>
    <row r="27" spans="1:11" ht="21.75" customHeight="1">
      <c r="A27" s="1609" t="s">
        <v>909</v>
      </c>
      <c r="B27" s="1610"/>
      <c r="C27" s="225">
        <v>89.32</v>
      </c>
      <c r="D27" s="1314">
        <v>100.83</v>
      </c>
      <c r="E27" s="1316"/>
      <c r="F27" s="585">
        <v>478.4</v>
      </c>
      <c r="G27" s="1314">
        <v>357.37</v>
      </c>
      <c r="H27" s="1316"/>
      <c r="I27" s="585">
        <v>535.6</v>
      </c>
      <c r="J27" s="1314">
        <v>354.43</v>
      </c>
      <c r="K27" s="1316"/>
    </row>
    <row r="28" spans="1:11" ht="21.75" customHeight="1">
      <c r="A28" s="1616" t="s">
        <v>895</v>
      </c>
      <c r="B28" s="1617"/>
      <c r="C28" s="244">
        <v>89.81</v>
      </c>
      <c r="D28" s="1597">
        <v>106.85</v>
      </c>
      <c r="E28" s="1448"/>
      <c r="F28" s="557">
        <v>445.24</v>
      </c>
      <c r="G28" s="1597">
        <v>354.49</v>
      </c>
      <c r="H28" s="1448"/>
      <c r="I28" s="557">
        <v>495.76</v>
      </c>
      <c r="J28" s="1597">
        <v>331.76</v>
      </c>
      <c r="K28" s="1448"/>
    </row>
    <row r="29" spans="1:11">
      <c r="K29" s="875" t="s">
        <v>616</v>
      </c>
    </row>
    <row r="30" spans="1:11">
      <c r="I30" s="55"/>
      <c r="J30" s="55"/>
    </row>
  </sheetData>
  <mergeCells count="42">
    <mergeCell ref="A26:B26"/>
    <mergeCell ref="D26:E26"/>
    <mergeCell ref="G26:H26"/>
    <mergeCell ref="J26:K26"/>
    <mergeCell ref="A27:B27"/>
    <mergeCell ref="D27:E27"/>
    <mergeCell ref="G27:H27"/>
    <mergeCell ref="J27:K27"/>
    <mergeCell ref="G24:H24"/>
    <mergeCell ref="J24:K24"/>
    <mergeCell ref="A25:B25"/>
    <mergeCell ref="D25:E25"/>
    <mergeCell ref="G25:H25"/>
    <mergeCell ref="J25:K25"/>
    <mergeCell ref="G28:H28"/>
    <mergeCell ref="J28:K28"/>
    <mergeCell ref="A28:B28"/>
    <mergeCell ref="D28:E28"/>
    <mergeCell ref="J22:K22"/>
    <mergeCell ref="J23:K23"/>
    <mergeCell ref="G22:H22"/>
    <mergeCell ref="G23:H23"/>
    <mergeCell ref="A21:B22"/>
    <mergeCell ref="A23:B23"/>
    <mergeCell ref="C21:E21"/>
    <mergeCell ref="D22:E22"/>
    <mergeCell ref="D23:E23"/>
    <mergeCell ref="I21:K21"/>
    <mergeCell ref="A24:B24"/>
    <mergeCell ref="D24:E24"/>
    <mergeCell ref="F21:H21"/>
    <mergeCell ref="A2:K2"/>
    <mergeCell ref="H4:I4"/>
    <mergeCell ref="J4:K4"/>
    <mergeCell ref="A1:K1"/>
    <mergeCell ref="A4:A5"/>
    <mergeCell ref="A18:K18"/>
    <mergeCell ref="A19:K19"/>
    <mergeCell ref="A20:K20"/>
    <mergeCell ref="B4:C4"/>
    <mergeCell ref="D4:E4"/>
    <mergeCell ref="F4:G4"/>
  </mergeCells>
  <phoneticPr fontId="0" type="noConversion"/>
  <printOptions horizontalCentered="1"/>
  <pageMargins left="0.1" right="0.1" top="0.42" bottom="0.1" header="0.5" footer="0.1"/>
  <pageSetup paperSize="9" orientation="landscape" blackAndWhite="1" r:id="rId1"/>
  <headerFooter alignWithMargins="0"/>
</worksheet>
</file>

<file path=xl/worksheets/sheet44.xml><?xml version="1.0" encoding="utf-8"?>
<worksheet xmlns="http://schemas.openxmlformats.org/spreadsheetml/2006/main" xmlns:r="http://schemas.openxmlformats.org/officeDocument/2006/relationships">
  <sheetPr codeName="Sheet48" enableFormatConditionsCalculation="0"/>
  <dimension ref="A1:L32"/>
  <sheetViews>
    <sheetView topLeftCell="A22" workbookViewId="0">
      <selection activeCell="G31" sqref="G31"/>
    </sheetView>
  </sheetViews>
  <sheetFormatPr defaultRowHeight="12.75"/>
  <cols>
    <col min="1" max="1" width="3.42578125" customWidth="1"/>
    <col min="2" max="2" width="18.42578125" customWidth="1"/>
    <col min="3" max="12" width="11.140625" customWidth="1"/>
  </cols>
  <sheetData>
    <row r="1" spans="1:12" ht="12.75" customHeight="1">
      <c r="A1" s="1393" t="s">
        <v>432</v>
      </c>
      <c r="B1" s="1393"/>
      <c r="C1" s="1393"/>
      <c r="D1" s="1393"/>
      <c r="E1" s="1393"/>
      <c r="F1" s="1393"/>
      <c r="G1" s="1393"/>
      <c r="H1" s="1393"/>
      <c r="I1" s="1393"/>
      <c r="J1" s="1393"/>
      <c r="K1" s="1393"/>
      <c r="L1" s="1393"/>
    </row>
    <row r="2" spans="1:12" ht="16.5">
      <c r="A2" s="1354" t="str">
        <f>CONCATENATE("Area and Production of Fruits and Vegetables in the district of ",District!A1)</f>
        <v>Area and Production of Fruits and Vegetables in the district of Jalpaiguri</v>
      </c>
      <c r="B2" s="1354"/>
      <c r="C2" s="1354"/>
      <c r="D2" s="1354"/>
      <c r="E2" s="1354"/>
      <c r="F2" s="1354"/>
      <c r="G2" s="1354"/>
      <c r="H2" s="1354"/>
      <c r="I2" s="1354"/>
      <c r="J2" s="1354"/>
      <c r="K2" s="1354"/>
      <c r="L2" s="1354"/>
    </row>
    <row r="3" spans="1:12" ht="10.5" customHeight="1">
      <c r="B3" s="4"/>
      <c r="C3" s="4"/>
      <c r="D3" s="4"/>
      <c r="E3" s="4"/>
      <c r="F3" s="4"/>
      <c r="G3" s="4"/>
      <c r="H3" s="4"/>
      <c r="I3" s="4"/>
      <c r="J3" s="4"/>
      <c r="K3" s="4"/>
      <c r="L3" s="11"/>
    </row>
    <row r="4" spans="1:12" ht="13.5" customHeight="1">
      <c r="A4" s="1640" t="s">
        <v>967</v>
      </c>
      <c r="B4" s="1641"/>
      <c r="C4" s="1444" t="s">
        <v>968</v>
      </c>
      <c r="D4" s="1444"/>
      <c r="E4" s="1444"/>
      <c r="F4" s="1444"/>
      <c r="G4" s="1444"/>
      <c r="H4" s="1445" t="s">
        <v>997</v>
      </c>
      <c r="I4" s="1444"/>
      <c r="J4" s="1444"/>
      <c r="K4" s="1444"/>
      <c r="L4" s="1446"/>
    </row>
    <row r="5" spans="1:12" ht="13.5" customHeight="1">
      <c r="A5" s="1642"/>
      <c r="B5" s="1643"/>
      <c r="C5" s="1114" t="s">
        <v>1110</v>
      </c>
      <c r="D5" s="1114" t="s">
        <v>1111</v>
      </c>
      <c r="E5" s="1114" t="s">
        <v>641</v>
      </c>
      <c r="F5" s="1165" t="s">
        <v>909</v>
      </c>
      <c r="G5" s="1165" t="s">
        <v>895</v>
      </c>
      <c r="H5" s="1114" t="s">
        <v>1110</v>
      </c>
      <c r="I5" s="1114" t="s">
        <v>1111</v>
      </c>
      <c r="J5" s="1114" t="s">
        <v>641</v>
      </c>
      <c r="K5" s="1165" t="s">
        <v>909</v>
      </c>
      <c r="L5" s="1165" t="s">
        <v>895</v>
      </c>
    </row>
    <row r="6" spans="1:12" ht="13.5" customHeight="1">
      <c r="A6" s="1385" t="s">
        <v>278</v>
      </c>
      <c r="B6" s="1441"/>
      <c r="C6" s="87" t="s">
        <v>279</v>
      </c>
      <c r="D6" s="57" t="s">
        <v>280</v>
      </c>
      <c r="E6" s="87" t="s">
        <v>281</v>
      </c>
      <c r="F6" s="57" t="s">
        <v>282</v>
      </c>
      <c r="G6" s="58" t="s">
        <v>283</v>
      </c>
      <c r="H6" s="87" t="s">
        <v>284</v>
      </c>
      <c r="I6" s="57" t="s">
        <v>301</v>
      </c>
      <c r="J6" s="159" t="s">
        <v>302</v>
      </c>
      <c r="K6" s="154" t="s">
        <v>303</v>
      </c>
      <c r="L6" s="161" t="s">
        <v>304</v>
      </c>
    </row>
    <row r="7" spans="1:12" ht="17.100000000000001" customHeight="1">
      <c r="A7" s="277" t="s">
        <v>515</v>
      </c>
      <c r="B7" s="483" t="s">
        <v>969</v>
      </c>
      <c r="C7" s="279"/>
      <c r="D7" s="487"/>
      <c r="E7" s="279"/>
      <c r="F7" s="487"/>
      <c r="G7" s="280"/>
      <c r="H7" s="279"/>
      <c r="I7" s="487"/>
      <c r="J7" s="279"/>
      <c r="K7" s="487"/>
      <c r="L7" s="280"/>
    </row>
    <row r="8" spans="1:12" ht="17.100000000000001" customHeight="1">
      <c r="A8" s="281"/>
      <c r="B8" s="388" t="s">
        <v>970</v>
      </c>
      <c r="C8" s="283">
        <v>1.54</v>
      </c>
      <c r="D8" s="283">
        <v>1.54</v>
      </c>
      <c r="E8" s="283">
        <v>1.55</v>
      </c>
      <c r="F8" s="283">
        <v>1.55</v>
      </c>
      <c r="G8" s="283">
        <v>1.5489999999999999</v>
      </c>
      <c r="H8" s="283">
        <v>4.99</v>
      </c>
      <c r="I8" s="283">
        <v>5.39</v>
      </c>
      <c r="J8" s="283">
        <v>5.46</v>
      </c>
      <c r="K8" s="283">
        <v>6.47</v>
      </c>
      <c r="L8" s="283">
        <v>3.8</v>
      </c>
    </row>
    <row r="9" spans="1:12" ht="17.100000000000001" customHeight="1">
      <c r="A9" s="281"/>
      <c r="B9" s="388" t="s">
        <v>971</v>
      </c>
      <c r="C9" s="283">
        <v>2.33</v>
      </c>
      <c r="D9" s="283">
        <v>2.4300000000000002</v>
      </c>
      <c r="E9" s="283">
        <v>2.5299999999999998</v>
      </c>
      <c r="F9" s="283">
        <v>2.54</v>
      </c>
      <c r="G9" s="283">
        <v>2.5470000000000002</v>
      </c>
      <c r="H9" s="283">
        <v>52.09</v>
      </c>
      <c r="I9" s="283">
        <v>54.09</v>
      </c>
      <c r="J9" s="283">
        <v>56</v>
      </c>
      <c r="K9" s="283">
        <v>56.85</v>
      </c>
      <c r="L9" s="283">
        <v>56.997999999999998</v>
      </c>
    </row>
    <row r="10" spans="1:12" ht="17.100000000000001" customHeight="1">
      <c r="A10" s="281"/>
      <c r="B10" s="388" t="s">
        <v>972</v>
      </c>
      <c r="C10" s="283">
        <v>1.65</v>
      </c>
      <c r="D10" s="283">
        <v>1.71</v>
      </c>
      <c r="E10" s="283">
        <v>1.75</v>
      </c>
      <c r="F10" s="283">
        <v>1.79</v>
      </c>
      <c r="G10" s="283">
        <v>1.806</v>
      </c>
      <c r="H10" s="283">
        <v>55.66</v>
      </c>
      <c r="I10" s="283">
        <v>57.66</v>
      </c>
      <c r="J10" s="283">
        <v>58.38</v>
      </c>
      <c r="K10" s="283">
        <v>59</v>
      </c>
      <c r="L10" s="283">
        <v>60.674999999999997</v>
      </c>
    </row>
    <row r="11" spans="1:12" ht="17.100000000000001" customHeight="1">
      <c r="A11" s="281"/>
      <c r="B11" s="388" t="s">
        <v>973</v>
      </c>
      <c r="C11" s="283">
        <v>0.59</v>
      </c>
      <c r="D11" s="283">
        <v>0.59</v>
      </c>
      <c r="E11" s="283">
        <v>0.6</v>
      </c>
      <c r="F11" s="283">
        <v>0.59</v>
      </c>
      <c r="G11" s="283">
        <v>0.59499999999999997</v>
      </c>
      <c r="H11" s="283">
        <v>30.81</v>
      </c>
      <c r="I11" s="283">
        <v>31.03</v>
      </c>
      <c r="J11" s="283">
        <v>31.29</v>
      </c>
      <c r="K11" s="283">
        <v>30</v>
      </c>
      <c r="L11" s="283">
        <v>31.1</v>
      </c>
    </row>
    <row r="12" spans="1:12" ht="17.100000000000001" customHeight="1">
      <c r="A12" s="281"/>
      <c r="B12" s="388" t="s">
        <v>974</v>
      </c>
      <c r="C12" s="283">
        <v>0.54</v>
      </c>
      <c r="D12" s="283">
        <v>0.54</v>
      </c>
      <c r="E12" s="283">
        <v>0.54</v>
      </c>
      <c r="F12" s="283">
        <v>0.55000000000000004</v>
      </c>
      <c r="G12" s="283">
        <v>0.56599999999999995</v>
      </c>
      <c r="H12" s="283">
        <v>8.27</v>
      </c>
      <c r="I12" s="283">
        <v>8.27</v>
      </c>
      <c r="J12" s="283">
        <v>8.2100000000000009</v>
      </c>
      <c r="K12" s="283">
        <v>8.34</v>
      </c>
      <c r="L12" s="283">
        <v>8.6150000000000002</v>
      </c>
    </row>
    <row r="13" spans="1:12" ht="17.100000000000001" customHeight="1">
      <c r="A13" s="281"/>
      <c r="B13" s="388" t="s">
        <v>975</v>
      </c>
      <c r="C13" s="283">
        <v>1.56</v>
      </c>
      <c r="D13" s="283">
        <v>1.56</v>
      </c>
      <c r="E13" s="283">
        <v>1.56</v>
      </c>
      <c r="F13" s="283">
        <v>1.57</v>
      </c>
      <c r="G13" s="283">
        <v>1.5669999999999999</v>
      </c>
      <c r="H13" s="283">
        <v>38.78</v>
      </c>
      <c r="I13" s="283">
        <v>38.979999999999997</v>
      </c>
      <c r="J13" s="283">
        <v>39</v>
      </c>
      <c r="K13" s="283">
        <v>40</v>
      </c>
      <c r="L13" s="283">
        <v>39.86</v>
      </c>
    </row>
    <row r="14" spans="1:12" ht="17.100000000000001" customHeight="1">
      <c r="A14" s="281"/>
      <c r="B14" s="388" t="s">
        <v>976</v>
      </c>
      <c r="C14" s="283">
        <v>0.28000000000000003</v>
      </c>
      <c r="D14" s="283">
        <v>0.28000000000000003</v>
      </c>
      <c r="E14" s="283">
        <v>0.28000000000000003</v>
      </c>
      <c r="F14" s="283">
        <v>0.28000000000000003</v>
      </c>
      <c r="G14" s="283">
        <v>0.28399999999999997</v>
      </c>
      <c r="H14" s="283">
        <v>2.96</v>
      </c>
      <c r="I14" s="283">
        <v>2.96</v>
      </c>
      <c r="J14" s="283">
        <v>2.95</v>
      </c>
      <c r="K14" s="283">
        <v>2.94</v>
      </c>
      <c r="L14" s="283">
        <v>2.9750000000000001</v>
      </c>
    </row>
    <row r="15" spans="1:12" ht="17.100000000000001" customHeight="1">
      <c r="A15" s="281"/>
      <c r="B15" s="388" t="s">
        <v>978</v>
      </c>
      <c r="C15" s="283">
        <v>0.06</v>
      </c>
      <c r="D15" s="283">
        <v>7.0000000000000007E-2</v>
      </c>
      <c r="E15" s="283">
        <v>7.0000000000000007E-2</v>
      </c>
      <c r="F15" s="283">
        <v>7.0000000000000007E-2</v>
      </c>
      <c r="G15" s="283">
        <v>6.6000000000000003E-2</v>
      </c>
      <c r="H15" s="283">
        <v>0.48</v>
      </c>
      <c r="I15" s="283">
        <v>0.48</v>
      </c>
      <c r="J15" s="283">
        <v>0.49</v>
      </c>
      <c r="K15" s="283">
        <v>0.49</v>
      </c>
      <c r="L15" s="283">
        <v>0.495</v>
      </c>
    </row>
    <row r="16" spans="1:12" ht="17.100000000000001" customHeight="1">
      <c r="A16" s="284"/>
      <c r="B16" s="388" t="s">
        <v>979</v>
      </c>
      <c r="C16" s="283">
        <v>0.62</v>
      </c>
      <c r="D16" s="283">
        <v>0.62</v>
      </c>
      <c r="E16" s="283">
        <v>0.62</v>
      </c>
      <c r="F16" s="283">
        <v>0.63</v>
      </c>
      <c r="G16" s="283">
        <v>0.63</v>
      </c>
      <c r="H16" s="283">
        <v>5.64</v>
      </c>
      <c r="I16" s="283">
        <v>5.64</v>
      </c>
      <c r="J16" s="283">
        <v>5.63</v>
      </c>
      <c r="K16" s="283">
        <v>5.71</v>
      </c>
      <c r="L16" s="283">
        <v>5.7380000000000004</v>
      </c>
    </row>
    <row r="17" spans="1:12" ht="17.100000000000001" customHeight="1">
      <c r="A17" s="281"/>
      <c r="B17" s="388" t="s">
        <v>980</v>
      </c>
      <c r="C17" s="283">
        <v>0.19</v>
      </c>
      <c r="D17" s="283">
        <v>0.19</v>
      </c>
      <c r="E17" s="283">
        <v>0.19</v>
      </c>
      <c r="F17" s="283">
        <v>0.19</v>
      </c>
      <c r="G17" s="283">
        <v>0.188</v>
      </c>
      <c r="H17" s="283">
        <v>2.5299999999999998</v>
      </c>
      <c r="I17" s="283">
        <v>2.5299999999999998</v>
      </c>
      <c r="J17" s="283">
        <v>2.5299999999999998</v>
      </c>
      <c r="K17" s="283">
        <v>2.5299999999999998</v>
      </c>
      <c r="L17" s="283">
        <v>2.5299999999999998</v>
      </c>
    </row>
    <row r="18" spans="1:12" ht="17.100000000000001" customHeight="1">
      <c r="A18" s="281"/>
      <c r="B18" s="388" t="s">
        <v>545</v>
      </c>
      <c r="C18" s="283">
        <v>0.15</v>
      </c>
      <c r="D18" s="283">
        <v>0.15</v>
      </c>
      <c r="E18" s="283">
        <v>0.13</v>
      </c>
      <c r="F18" s="1182">
        <v>0.15</v>
      </c>
      <c r="G18" s="1182">
        <v>0.15</v>
      </c>
      <c r="H18" s="283">
        <v>1.76</v>
      </c>
      <c r="I18" s="283">
        <v>1.78</v>
      </c>
      <c r="J18" s="283">
        <v>1.78</v>
      </c>
      <c r="K18" s="283">
        <v>1.81</v>
      </c>
      <c r="L18" s="283">
        <v>1.81</v>
      </c>
    </row>
    <row r="19" spans="1:12" ht="13.5" customHeight="1">
      <c r="A19" s="285"/>
      <c r="B19" s="485" t="s">
        <v>300</v>
      </c>
      <c r="C19" s="484">
        <f t="shared" ref="C19:L19" si="0">SUM(C8:C18)</f>
        <v>9.509999999999998</v>
      </c>
      <c r="D19" s="484">
        <f t="shared" si="0"/>
        <v>9.6799999999999979</v>
      </c>
      <c r="E19" s="484">
        <f t="shared" si="0"/>
        <v>9.8199999999999985</v>
      </c>
      <c r="F19" s="484">
        <f t="shared" si="0"/>
        <v>9.91</v>
      </c>
      <c r="G19" s="484">
        <f t="shared" si="0"/>
        <v>9.9480000000000022</v>
      </c>
      <c r="H19" s="484">
        <f t="shared" si="0"/>
        <v>203.97</v>
      </c>
      <c r="I19" s="484">
        <f t="shared" si="0"/>
        <v>208.81</v>
      </c>
      <c r="J19" s="484">
        <f t="shared" si="0"/>
        <v>211.72</v>
      </c>
      <c r="K19" s="484">
        <f t="shared" si="0"/>
        <v>214.14000000000001</v>
      </c>
      <c r="L19" s="484">
        <f t="shared" si="0"/>
        <v>214.596</v>
      </c>
    </row>
    <row r="20" spans="1:12" ht="17.100000000000001" customHeight="1">
      <c r="A20" s="286" t="s">
        <v>981</v>
      </c>
      <c r="B20" s="486" t="s">
        <v>982</v>
      </c>
      <c r="C20" s="488"/>
      <c r="D20" s="287"/>
      <c r="E20" s="287"/>
      <c r="F20" s="287"/>
      <c r="G20" s="287"/>
      <c r="H20" s="488"/>
      <c r="I20" s="287"/>
      <c r="J20" s="287"/>
      <c r="K20" s="287"/>
      <c r="L20" s="287"/>
    </row>
    <row r="21" spans="1:12" ht="17.100000000000001" customHeight="1">
      <c r="A21" s="288"/>
      <c r="B21" s="388" t="s">
        <v>986</v>
      </c>
      <c r="C21" s="283">
        <v>4.8</v>
      </c>
      <c r="D21" s="283">
        <v>4.8600000000000003</v>
      </c>
      <c r="E21" s="283">
        <v>4.8600000000000003</v>
      </c>
      <c r="F21" s="283">
        <v>4.87</v>
      </c>
      <c r="G21" s="283">
        <v>4.87</v>
      </c>
      <c r="H21" s="283">
        <v>130.21</v>
      </c>
      <c r="I21" s="283">
        <v>131.9</v>
      </c>
      <c r="J21" s="283">
        <v>132</v>
      </c>
      <c r="K21" s="283">
        <v>131.94999999999999</v>
      </c>
      <c r="L21" s="283">
        <v>132.12100000000001</v>
      </c>
    </row>
    <row r="22" spans="1:12" ht="17.100000000000001" customHeight="1">
      <c r="A22" s="288"/>
      <c r="B22" s="388" t="s">
        <v>987</v>
      </c>
      <c r="C22" s="283">
        <v>4.7300000000000004</v>
      </c>
      <c r="D22" s="283">
        <v>4.79</v>
      </c>
      <c r="E22" s="283">
        <v>4.8</v>
      </c>
      <c r="F22" s="283">
        <v>4.8</v>
      </c>
      <c r="G22" s="283">
        <v>4.8099999999999996</v>
      </c>
      <c r="H22" s="283">
        <v>130.61000000000001</v>
      </c>
      <c r="I22" s="283">
        <v>132.44</v>
      </c>
      <c r="J22" s="283">
        <v>132.71</v>
      </c>
      <c r="K22" s="283">
        <v>133.11000000000001</v>
      </c>
      <c r="L22" s="283">
        <v>133.26</v>
      </c>
    </row>
    <row r="23" spans="1:12" ht="17.100000000000001" customHeight="1">
      <c r="A23" s="288"/>
      <c r="B23" s="388" t="s">
        <v>989</v>
      </c>
      <c r="C23" s="283">
        <v>4.8099999999999996</v>
      </c>
      <c r="D23" s="283">
        <v>4.87</v>
      </c>
      <c r="E23" s="283">
        <v>4.88</v>
      </c>
      <c r="F23" s="283">
        <v>4.88</v>
      </c>
      <c r="G23" s="283">
        <v>4.8899999999999997</v>
      </c>
      <c r="H23" s="283">
        <v>110.69</v>
      </c>
      <c r="I23" s="283">
        <v>112.15</v>
      </c>
      <c r="J23" s="283">
        <v>112.25</v>
      </c>
      <c r="K23" s="283">
        <v>112.75</v>
      </c>
      <c r="L23" s="283">
        <v>112.83</v>
      </c>
    </row>
    <row r="24" spans="1:12" ht="17.100000000000001" customHeight="1">
      <c r="A24" s="284"/>
      <c r="B24" s="388" t="s">
        <v>990</v>
      </c>
      <c r="C24" s="283">
        <v>3.52</v>
      </c>
      <c r="D24" s="283">
        <v>3.58</v>
      </c>
      <c r="E24" s="283">
        <v>3.58</v>
      </c>
      <c r="F24" s="283">
        <v>3.58</v>
      </c>
      <c r="G24" s="283">
        <v>3.58</v>
      </c>
      <c r="H24" s="283">
        <v>28.5</v>
      </c>
      <c r="I24" s="283">
        <v>29.36</v>
      </c>
      <c r="J24" s="283">
        <v>29.36</v>
      </c>
      <c r="K24" s="283">
        <v>29.24</v>
      </c>
      <c r="L24" s="283">
        <v>29.26</v>
      </c>
    </row>
    <row r="25" spans="1:12" ht="17.100000000000001" customHeight="1">
      <c r="A25" s="277"/>
      <c r="B25" s="388" t="s">
        <v>991</v>
      </c>
      <c r="C25" s="283">
        <v>9.5500000000000007</v>
      </c>
      <c r="D25" s="283">
        <v>7.46</v>
      </c>
      <c r="E25" s="283">
        <v>9.66</v>
      </c>
      <c r="F25" s="283">
        <v>9.67</v>
      </c>
      <c r="G25" s="283">
        <v>9.68</v>
      </c>
      <c r="H25" s="283">
        <v>181.7</v>
      </c>
      <c r="I25" s="283">
        <v>150.03</v>
      </c>
      <c r="J25" s="283">
        <v>186.18</v>
      </c>
      <c r="K25" s="283">
        <v>186.91</v>
      </c>
      <c r="L25" s="283">
        <v>187.05</v>
      </c>
    </row>
    <row r="26" spans="1:12" ht="17.100000000000001" customHeight="1">
      <c r="A26" s="288"/>
      <c r="B26" s="388" t="s">
        <v>992</v>
      </c>
      <c r="C26" s="283">
        <v>0.35</v>
      </c>
      <c r="D26" s="283">
        <v>0.35</v>
      </c>
      <c r="E26" s="283">
        <v>0.34</v>
      </c>
      <c r="F26" s="283">
        <v>0.36</v>
      </c>
      <c r="G26" s="283">
        <v>0.37</v>
      </c>
      <c r="H26" s="283">
        <v>5.22</v>
      </c>
      <c r="I26" s="283">
        <v>5.36</v>
      </c>
      <c r="J26" s="283">
        <v>5.0599999999999996</v>
      </c>
      <c r="K26" s="1182">
        <v>5.39</v>
      </c>
      <c r="L26" s="1182">
        <v>5.44</v>
      </c>
    </row>
    <row r="27" spans="1:12" ht="17.100000000000001" customHeight="1">
      <c r="A27" s="288"/>
      <c r="B27" s="388" t="s">
        <v>993</v>
      </c>
      <c r="C27" s="283">
        <v>7.23</v>
      </c>
      <c r="D27" s="283">
        <v>7.34</v>
      </c>
      <c r="E27" s="283">
        <v>7.3</v>
      </c>
      <c r="F27" s="283">
        <v>7.31</v>
      </c>
      <c r="G27" s="283">
        <v>7.31</v>
      </c>
      <c r="H27" s="283">
        <v>106.31</v>
      </c>
      <c r="I27" s="283">
        <v>109.77</v>
      </c>
      <c r="J27" s="283">
        <v>109.77</v>
      </c>
      <c r="K27" s="1182">
        <v>109.92</v>
      </c>
      <c r="L27" s="1182">
        <v>109.99</v>
      </c>
    </row>
    <row r="28" spans="1:12" ht="17.100000000000001" customHeight="1">
      <c r="A28" s="288"/>
      <c r="B28" s="388" t="s">
        <v>994</v>
      </c>
      <c r="C28" s="283">
        <v>5.15</v>
      </c>
      <c r="D28" s="283">
        <v>5.22</v>
      </c>
      <c r="E28" s="283">
        <v>5.22</v>
      </c>
      <c r="F28" s="283">
        <v>5.23</v>
      </c>
      <c r="G28" s="283">
        <v>5.24</v>
      </c>
      <c r="H28" s="283">
        <v>68.260000000000005</v>
      </c>
      <c r="I28" s="283">
        <v>70.12</v>
      </c>
      <c r="J28" s="283">
        <v>70.11</v>
      </c>
      <c r="K28" s="283">
        <v>70.31</v>
      </c>
      <c r="L28" s="283">
        <v>70.34</v>
      </c>
    </row>
    <row r="29" spans="1:12" ht="17.100000000000001" customHeight="1">
      <c r="A29" s="284"/>
      <c r="B29" s="388" t="s">
        <v>995</v>
      </c>
      <c r="C29" s="283">
        <v>3.12</v>
      </c>
      <c r="D29" s="283">
        <v>0.9</v>
      </c>
      <c r="E29" s="283">
        <v>3.13</v>
      </c>
      <c r="F29" s="283">
        <v>3.13</v>
      </c>
      <c r="G29" s="283">
        <v>3.14</v>
      </c>
      <c r="H29" s="283">
        <v>36.94</v>
      </c>
      <c r="I29" s="283">
        <v>12</v>
      </c>
      <c r="J29" s="283">
        <v>38.44</v>
      </c>
      <c r="K29" s="283">
        <v>38.47</v>
      </c>
      <c r="L29" s="283">
        <v>38.53</v>
      </c>
    </row>
    <row r="30" spans="1:12" ht="17.100000000000001" customHeight="1">
      <c r="A30" s="277"/>
      <c r="B30" s="388" t="s">
        <v>545</v>
      </c>
      <c r="C30" s="273">
        <v>9.36</v>
      </c>
      <c r="D30" s="273">
        <v>19.16</v>
      </c>
      <c r="E30" s="273">
        <v>9.59</v>
      </c>
      <c r="F30" s="273">
        <v>9.67</v>
      </c>
      <c r="G30" s="273">
        <v>9.69</v>
      </c>
      <c r="H30" s="283">
        <v>46.21</v>
      </c>
      <c r="I30" s="283">
        <v>110.19</v>
      </c>
      <c r="J30" s="283">
        <v>50.48</v>
      </c>
      <c r="K30" s="283">
        <v>51.19</v>
      </c>
      <c r="L30" s="283">
        <v>51.02</v>
      </c>
    </row>
    <row r="31" spans="1:12" ht="13.5" customHeight="1">
      <c r="A31" s="289"/>
      <c r="B31" s="485" t="s">
        <v>300</v>
      </c>
      <c r="C31" s="237">
        <f t="shared" ref="C31:L31" si="1">SUM(C21:C30)</f>
        <v>52.62</v>
      </c>
      <c r="D31" s="237">
        <f t="shared" si="1"/>
        <v>58.53</v>
      </c>
      <c r="E31" s="237">
        <f t="shared" si="1"/>
        <v>53.36</v>
      </c>
      <c r="F31" s="237">
        <f t="shared" si="1"/>
        <v>53.500000000000007</v>
      </c>
      <c r="G31" s="237">
        <f t="shared" si="1"/>
        <v>53.58</v>
      </c>
      <c r="H31" s="220">
        <f t="shared" si="1"/>
        <v>844.65000000000009</v>
      </c>
      <c r="I31" s="237">
        <f t="shared" si="1"/>
        <v>863.31999999999994</v>
      </c>
      <c r="J31" s="220">
        <f t="shared" si="1"/>
        <v>866.3599999999999</v>
      </c>
      <c r="K31" s="220">
        <f t="shared" si="1"/>
        <v>869.24</v>
      </c>
      <c r="L31" s="220">
        <f t="shared" si="1"/>
        <v>869.84100000000001</v>
      </c>
    </row>
    <row r="32" spans="1:12">
      <c r="D32" s="10"/>
      <c r="F32" s="1198"/>
      <c r="G32" s="1198"/>
      <c r="H32" s="1198"/>
      <c r="I32" s="1198"/>
      <c r="J32" s="1198"/>
      <c r="K32" s="1198"/>
      <c r="L32" s="1192" t="s">
        <v>388</v>
      </c>
    </row>
  </sheetData>
  <mergeCells count="6">
    <mergeCell ref="A1:L1"/>
    <mergeCell ref="H4:L4"/>
    <mergeCell ref="A2:L2"/>
    <mergeCell ref="A6:B6"/>
    <mergeCell ref="A4:B5"/>
    <mergeCell ref="C4:G4"/>
  </mergeCells>
  <phoneticPr fontId="0" type="noConversion"/>
  <printOptions horizontalCentered="1"/>
  <pageMargins left="0.1" right="0.1" top="0.86" bottom="0.1" header="0.25" footer="0.1"/>
  <pageSetup paperSize="9" orientation="landscape" blackAndWhite="1" r:id="rId1"/>
  <headerFooter alignWithMargins="0"/>
</worksheet>
</file>

<file path=xl/worksheets/sheet45.xml><?xml version="1.0" encoding="utf-8"?>
<worksheet xmlns="http://schemas.openxmlformats.org/spreadsheetml/2006/main" xmlns:r="http://schemas.openxmlformats.org/officeDocument/2006/relationships">
  <sheetPr codeName="Sheet49"/>
  <dimension ref="A1:N29"/>
  <sheetViews>
    <sheetView topLeftCell="A13" workbookViewId="0">
      <selection activeCell="N12" sqref="N12"/>
    </sheetView>
  </sheetViews>
  <sheetFormatPr defaultRowHeight="12.75"/>
  <cols>
    <col min="1" max="1" width="19.7109375" customWidth="1"/>
    <col min="2" max="2" width="12.140625" customWidth="1"/>
    <col min="3" max="7" width="9.28515625" customWidth="1"/>
    <col min="8" max="8" width="11" customWidth="1"/>
    <col min="9" max="13" width="9.28515625" customWidth="1"/>
  </cols>
  <sheetData>
    <row r="1" spans="1:13" ht="12.75" customHeight="1">
      <c r="A1" s="1286" t="s">
        <v>433</v>
      </c>
      <c r="B1" s="1286"/>
      <c r="C1" s="1286"/>
      <c r="D1" s="1286"/>
      <c r="E1" s="1286"/>
      <c r="F1" s="1286"/>
      <c r="G1" s="1286"/>
      <c r="H1" s="1286"/>
      <c r="I1" s="1286"/>
      <c r="J1" s="1286"/>
      <c r="K1" s="1286"/>
      <c r="L1" s="1286"/>
      <c r="M1" s="1286"/>
    </row>
    <row r="2" spans="1:13" ht="18" customHeight="1">
      <c r="A2" s="1644" t="str">
        <f>CONCATENATE("Area and Production of Flowers in the district of ",District!A1)</f>
        <v>Area and Production of Flowers in the district of Jalpaiguri</v>
      </c>
      <c r="B2" s="1644"/>
      <c r="C2" s="1644"/>
      <c r="D2" s="1644"/>
      <c r="E2" s="1644"/>
      <c r="F2" s="1644"/>
      <c r="G2" s="1644"/>
      <c r="H2" s="1644"/>
      <c r="I2" s="1644"/>
      <c r="J2" s="1644"/>
      <c r="K2" s="1644"/>
      <c r="L2" s="1644"/>
      <c r="M2" s="1644"/>
    </row>
    <row r="3" spans="1:13" ht="15.95" customHeight="1">
      <c r="A3" s="1336" t="s">
        <v>996</v>
      </c>
      <c r="B3" s="1445" t="s">
        <v>109</v>
      </c>
      <c r="C3" s="1444"/>
      <c r="D3" s="1444"/>
      <c r="E3" s="1444"/>
      <c r="F3" s="1444"/>
      <c r="G3" s="1446"/>
      <c r="H3" s="1444" t="s">
        <v>998</v>
      </c>
      <c r="I3" s="1444"/>
      <c r="J3" s="1444"/>
      <c r="K3" s="1444"/>
      <c r="L3" s="1444"/>
      <c r="M3" s="1446"/>
    </row>
    <row r="4" spans="1:13" ht="15.95" customHeight="1">
      <c r="A4" s="1327"/>
      <c r="B4" s="743" t="s">
        <v>99</v>
      </c>
      <c r="C4" s="1190" t="s">
        <v>1110</v>
      </c>
      <c r="D4" s="1190" t="s">
        <v>1111</v>
      </c>
      <c r="E4" s="1190" t="s">
        <v>641</v>
      </c>
      <c r="F4" s="1190" t="s">
        <v>909</v>
      </c>
      <c r="G4" s="1190" t="s">
        <v>895</v>
      </c>
      <c r="H4" s="743" t="s">
        <v>99</v>
      </c>
      <c r="I4" s="1190" t="s">
        <v>1110</v>
      </c>
      <c r="J4" s="1190" t="s">
        <v>1111</v>
      </c>
      <c r="K4" s="1190" t="s">
        <v>641</v>
      </c>
      <c r="L4" s="1190" t="s">
        <v>909</v>
      </c>
      <c r="M4" s="1190" t="s">
        <v>895</v>
      </c>
    </row>
    <row r="5" spans="1:13" ht="15.95" customHeight="1">
      <c r="A5" s="1199" t="s">
        <v>278</v>
      </c>
      <c r="B5" s="1200" t="s">
        <v>279</v>
      </c>
      <c r="C5" s="1199" t="s">
        <v>280</v>
      </c>
      <c r="D5" s="1201" t="s">
        <v>281</v>
      </c>
      <c r="E5" s="1199" t="s">
        <v>282</v>
      </c>
      <c r="F5" s="1199" t="s">
        <v>283</v>
      </c>
      <c r="G5" s="1201" t="s">
        <v>284</v>
      </c>
      <c r="H5" s="1199" t="s">
        <v>301</v>
      </c>
      <c r="I5" s="1202" t="s">
        <v>302</v>
      </c>
      <c r="J5" s="1201" t="s">
        <v>303</v>
      </c>
      <c r="K5" s="1199" t="s">
        <v>304</v>
      </c>
      <c r="L5" s="1199" t="s">
        <v>344</v>
      </c>
      <c r="M5" s="1199" t="s">
        <v>345</v>
      </c>
    </row>
    <row r="6" spans="1:13" ht="24.95" customHeight="1">
      <c r="A6" s="268" t="s">
        <v>999</v>
      </c>
      <c r="B6" s="1203" t="s">
        <v>1447</v>
      </c>
      <c r="C6" s="1204" t="s">
        <v>117</v>
      </c>
      <c r="D6" s="1204" t="s">
        <v>117</v>
      </c>
      <c r="E6" s="1204" t="s">
        <v>117</v>
      </c>
      <c r="F6" s="1204" t="s">
        <v>570</v>
      </c>
      <c r="G6" s="1204" t="s">
        <v>570</v>
      </c>
      <c r="H6" s="1000" t="s">
        <v>35</v>
      </c>
      <c r="I6" s="646" t="s">
        <v>117</v>
      </c>
      <c r="J6" s="646" t="s">
        <v>117</v>
      </c>
      <c r="K6" s="646" t="s">
        <v>117</v>
      </c>
      <c r="L6" s="646" t="s">
        <v>570</v>
      </c>
      <c r="M6" s="646" t="s">
        <v>570</v>
      </c>
    </row>
    <row r="7" spans="1:13" ht="24.95" customHeight="1">
      <c r="A7" s="268" t="s">
        <v>1000</v>
      </c>
      <c r="B7" s="1205" t="s">
        <v>111</v>
      </c>
      <c r="C7" s="646">
        <v>2E-3</v>
      </c>
      <c r="D7" s="646">
        <v>2E-3</v>
      </c>
      <c r="E7" s="646">
        <v>2E-3</v>
      </c>
      <c r="F7" s="646">
        <v>2E-3</v>
      </c>
      <c r="G7" s="646">
        <v>2E-3</v>
      </c>
      <c r="H7" s="1206" t="s">
        <v>111</v>
      </c>
      <c r="I7" s="646">
        <v>3.1E-2</v>
      </c>
      <c r="J7" s="646">
        <v>3.1E-2</v>
      </c>
      <c r="K7" s="646">
        <v>3.1E-2</v>
      </c>
      <c r="L7" s="646">
        <v>3.2000000000000001E-2</v>
      </c>
      <c r="M7" s="646">
        <v>3.3000000000000002E-2</v>
      </c>
    </row>
    <row r="8" spans="1:13" ht="24.95" customHeight="1">
      <c r="A8" s="268" t="s">
        <v>1001</v>
      </c>
      <c r="B8" s="1205" t="s">
        <v>111</v>
      </c>
      <c r="C8" s="646">
        <v>6.2E-2</v>
      </c>
      <c r="D8" s="646">
        <v>0.112</v>
      </c>
      <c r="E8" s="646">
        <v>0.115</v>
      </c>
      <c r="F8" s="646">
        <v>0.121</v>
      </c>
      <c r="G8" s="646">
        <v>0.128</v>
      </c>
      <c r="H8" s="1206" t="s">
        <v>111</v>
      </c>
      <c r="I8" s="646">
        <v>0.91700000000000004</v>
      </c>
      <c r="J8" s="646">
        <v>1.66</v>
      </c>
      <c r="K8" s="646">
        <v>1.71</v>
      </c>
      <c r="L8" s="646">
        <v>1.802</v>
      </c>
      <c r="M8" s="646">
        <v>1.899</v>
      </c>
    </row>
    <row r="9" spans="1:13" ht="24.95" customHeight="1">
      <c r="A9" s="268" t="s">
        <v>1002</v>
      </c>
      <c r="B9" s="1205" t="s">
        <v>111</v>
      </c>
      <c r="C9" s="646" t="s">
        <v>117</v>
      </c>
      <c r="D9" s="646" t="s">
        <v>117</v>
      </c>
      <c r="E9" s="646" t="s">
        <v>117</v>
      </c>
      <c r="F9" s="646" t="s">
        <v>570</v>
      </c>
      <c r="G9" s="646" t="s">
        <v>570</v>
      </c>
      <c r="H9" s="490" t="s">
        <v>111</v>
      </c>
      <c r="I9" s="646" t="s">
        <v>117</v>
      </c>
      <c r="J9" s="646" t="s">
        <v>117</v>
      </c>
      <c r="K9" s="646" t="s">
        <v>117</v>
      </c>
      <c r="L9" s="646" t="s">
        <v>570</v>
      </c>
      <c r="M9" s="646" t="s">
        <v>570</v>
      </c>
    </row>
    <row r="10" spans="1:13" ht="24.95" customHeight="1">
      <c r="A10" s="268" t="s">
        <v>1003</v>
      </c>
      <c r="B10" s="1205" t="s">
        <v>111</v>
      </c>
      <c r="C10" s="646">
        <v>0.02</v>
      </c>
      <c r="D10" s="646">
        <v>0.02</v>
      </c>
      <c r="E10" s="646">
        <v>0.03</v>
      </c>
      <c r="F10" s="646">
        <v>3.5000000000000003E-2</v>
      </c>
      <c r="G10" s="646">
        <v>3.5999999999999997E-2</v>
      </c>
      <c r="H10" s="489" t="s">
        <v>34</v>
      </c>
      <c r="I10" s="646">
        <v>0.14899999999999999</v>
      </c>
      <c r="J10" s="646">
        <v>0.14899999999999999</v>
      </c>
      <c r="K10" s="646">
        <v>0.249</v>
      </c>
      <c r="L10" s="646">
        <v>0.28499999999999998</v>
      </c>
      <c r="M10" s="646">
        <v>0.29099999999999998</v>
      </c>
    </row>
    <row r="11" spans="1:13" ht="24.95" customHeight="1">
      <c r="A11" s="268" t="s">
        <v>1047</v>
      </c>
      <c r="B11" s="1205" t="s">
        <v>111</v>
      </c>
      <c r="C11" s="646">
        <v>4.4999999999999998E-2</v>
      </c>
      <c r="D11" s="646">
        <v>4.4999999999999998E-2</v>
      </c>
      <c r="E11" s="646">
        <v>4.4999999999999998E-2</v>
      </c>
      <c r="F11" s="646">
        <v>4.4999999999999998E-2</v>
      </c>
      <c r="G11" s="646">
        <v>4.3999999999999997E-2</v>
      </c>
      <c r="H11" s="490" t="s">
        <v>111</v>
      </c>
      <c r="I11" s="646">
        <v>4.2000000000000003E-2</v>
      </c>
      <c r="J11" s="646">
        <v>4.2000000000000003E-2</v>
      </c>
      <c r="K11" s="646">
        <v>4.2000000000000003E-2</v>
      </c>
      <c r="L11" s="646">
        <v>4.2999999999999997E-2</v>
      </c>
      <c r="M11" s="646">
        <v>4.2000000000000003E-2</v>
      </c>
    </row>
    <row r="12" spans="1:13" ht="24.95" customHeight="1">
      <c r="A12" s="268" t="s">
        <v>1048</v>
      </c>
      <c r="B12" s="1205" t="s">
        <v>111</v>
      </c>
      <c r="C12" s="646">
        <v>7.5999999999999998E-2</v>
      </c>
      <c r="D12" s="646">
        <v>7.5999999999999998E-2</v>
      </c>
      <c r="E12" s="646">
        <v>7.8E-2</v>
      </c>
      <c r="F12" s="646">
        <v>7.9000000000000001E-2</v>
      </c>
      <c r="G12" s="646">
        <v>7.9000000000000001E-2</v>
      </c>
      <c r="H12" s="490" t="s">
        <v>111</v>
      </c>
      <c r="I12" s="646">
        <v>8.2000000000000003E-2</v>
      </c>
      <c r="J12" s="646">
        <v>8.3000000000000004E-2</v>
      </c>
      <c r="K12" s="646">
        <v>8.3000000000000004E-2</v>
      </c>
      <c r="L12" s="646">
        <v>8.4000000000000005E-2</v>
      </c>
      <c r="M12" s="646">
        <v>8.5999999999999993E-2</v>
      </c>
    </row>
    <row r="13" spans="1:13" ht="24.95" customHeight="1">
      <c r="A13" s="270" t="s">
        <v>1239</v>
      </c>
      <c r="B13" s="1207" t="s">
        <v>111</v>
      </c>
      <c r="C13" s="752">
        <v>0.01</v>
      </c>
      <c r="D13" s="752">
        <v>0.01</v>
      </c>
      <c r="E13" s="752">
        <v>0.01</v>
      </c>
      <c r="F13" s="752">
        <v>1.0999999999999999E-2</v>
      </c>
      <c r="G13" s="752">
        <v>1.2E-2</v>
      </c>
      <c r="H13" s="491" t="s">
        <v>111</v>
      </c>
      <c r="I13" s="752">
        <v>1.4999999999999999E-2</v>
      </c>
      <c r="J13" s="752">
        <v>1.4999999999999999E-2</v>
      </c>
      <c r="K13" s="752">
        <v>1.4999999999999999E-2</v>
      </c>
      <c r="L13" s="752">
        <v>1.4999999999999999E-2</v>
      </c>
      <c r="M13" s="752">
        <v>1.6E-2</v>
      </c>
    </row>
    <row r="14" spans="1:13" ht="15.95" customHeight="1">
      <c r="A14" s="359"/>
      <c r="B14" s="359"/>
      <c r="C14" s="1006"/>
      <c r="D14" s="382"/>
      <c r="E14" s="382"/>
      <c r="F14" s="382"/>
      <c r="G14" s="382"/>
      <c r="H14" s="382"/>
      <c r="I14" s="382"/>
      <c r="J14" s="382"/>
      <c r="K14" s="382"/>
      <c r="M14" s="861" t="s">
        <v>388</v>
      </c>
    </row>
    <row r="15" spans="1:13">
      <c r="A15" s="359"/>
      <c r="B15" s="359"/>
      <c r="C15" s="359"/>
      <c r="D15" s="359"/>
      <c r="E15" s="359"/>
      <c r="F15" s="359"/>
      <c r="G15" s="359"/>
      <c r="H15" s="359"/>
      <c r="I15" s="359"/>
      <c r="J15" s="359"/>
      <c r="K15" s="359"/>
      <c r="L15" s="359"/>
      <c r="M15" s="359"/>
    </row>
    <row r="16" spans="1:13">
      <c r="A16" s="1361" t="s">
        <v>434</v>
      </c>
      <c r="B16" s="1361"/>
      <c r="C16" s="1361"/>
      <c r="D16" s="1361"/>
      <c r="E16" s="1361"/>
      <c r="F16" s="1361"/>
      <c r="G16" s="1361"/>
      <c r="H16" s="1361"/>
      <c r="I16" s="1361"/>
      <c r="J16" s="1361"/>
      <c r="K16" s="1361"/>
      <c r="L16" s="1361"/>
      <c r="M16" s="1361"/>
    </row>
    <row r="17" spans="1:14" ht="20.25" customHeight="1">
      <c r="A17" s="1644" t="s">
        <v>134</v>
      </c>
      <c r="B17" s="1644"/>
      <c r="C17" s="1644"/>
      <c r="D17" s="1644"/>
      <c r="E17" s="1644"/>
      <c r="F17" s="1644"/>
      <c r="G17" s="1644"/>
      <c r="H17" s="1644"/>
      <c r="I17" s="1644"/>
      <c r="J17" s="1644"/>
      <c r="K17" s="1644"/>
      <c r="L17" s="1644"/>
      <c r="M17" s="1644"/>
    </row>
    <row r="18" spans="1:14" ht="13.5" customHeight="1">
      <c r="A18" s="1326" t="s">
        <v>98</v>
      </c>
      <c r="B18" s="1646" t="s">
        <v>1238</v>
      </c>
      <c r="C18" s="1332"/>
      <c r="D18" s="1646" t="s">
        <v>1237</v>
      </c>
      <c r="E18" s="1332"/>
      <c r="F18" s="1578" t="s">
        <v>1484</v>
      </c>
      <c r="G18" s="1489"/>
      <c r="H18" s="1489"/>
      <c r="I18" s="1489"/>
      <c r="J18" s="1489"/>
      <c r="K18" s="1490"/>
      <c r="L18" s="1334" t="s">
        <v>1446</v>
      </c>
      <c r="M18" s="1332"/>
      <c r="N18" s="726"/>
    </row>
    <row r="19" spans="1:14" ht="15.75" customHeight="1">
      <c r="A19" s="1645"/>
      <c r="B19" s="1647"/>
      <c r="C19" s="1333"/>
      <c r="D19" s="1647"/>
      <c r="E19" s="1333"/>
      <c r="F19" s="1344" t="s">
        <v>1485</v>
      </c>
      <c r="G19" s="1338"/>
      <c r="H19" s="1648" t="s">
        <v>1486</v>
      </c>
      <c r="I19" s="1338"/>
      <c r="J19" s="1648" t="s">
        <v>300</v>
      </c>
      <c r="K19" s="1338"/>
      <c r="L19" s="1344"/>
      <c r="M19" s="1338"/>
      <c r="N19" s="726"/>
    </row>
    <row r="20" spans="1:14" ht="18" customHeight="1">
      <c r="A20" s="92" t="s">
        <v>278</v>
      </c>
      <c r="B20" s="1385" t="s">
        <v>279</v>
      </c>
      <c r="C20" s="1386"/>
      <c r="D20" s="1385" t="s">
        <v>280</v>
      </c>
      <c r="E20" s="1386"/>
      <c r="F20" s="1385" t="s">
        <v>281</v>
      </c>
      <c r="G20" s="1386"/>
      <c r="H20" s="1385" t="s">
        <v>282</v>
      </c>
      <c r="I20" s="1386"/>
      <c r="J20" s="1385" t="s">
        <v>283</v>
      </c>
      <c r="K20" s="1386"/>
      <c r="L20" s="1385" t="s">
        <v>284</v>
      </c>
      <c r="M20" s="1386"/>
      <c r="N20" s="725"/>
    </row>
    <row r="21" spans="1:14" ht="21" customHeight="1">
      <c r="A21" s="298" t="s">
        <v>1110</v>
      </c>
      <c r="B21" s="1613">
        <v>158</v>
      </c>
      <c r="C21" s="1614"/>
      <c r="D21" s="1613">
        <v>72673</v>
      </c>
      <c r="E21" s="1614"/>
      <c r="F21" s="1613">
        <v>17165</v>
      </c>
      <c r="G21" s="1614"/>
      <c r="H21" s="1613">
        <v>151760</v>
      </c>
      <c r="I21" s="1614"/>
      <c r="J21" s="1594">
        <f>SUM(F21,H21)</f>
        <v>168925</v>
      </c>
      <c r="K21" s="1595"/>
      <c r="L21" s="1594">
        <v>139028</v>
      </c>
      <c r="M21" s="1595"/>
      <c r="N21" s="31"/>
    </row>
    <row r="22" spans="1:14" ht="21" customHeight="1">
      <c r="A22" s="298" t="s">
        <v>1111</v>
      </c>
      <c r="B22" s="1324">
        <v>158</v>
      </c>
      <c r="C22" s="1316"/>
      <c r="D22" s="1324">
        <v>72673</v>
      </c>
      <c r="E22" s="1316"/>
      <c r="F22" s="1324">
        <v>17150</v>
      </c>
      <c r="G22" s="1316"/>
      <c r="H22" s="1324">
        <v>151742</v>
      </c>
      <c r="I22" s="1316"/>
      <c r="J22" s="1586">
        <f>SUM(F22,H22)</f>
        <v>168892</v>
      </c>
      <c r="K22" s="1587"/>
      <c r="L22" s="1586">
        <v>144177</v>
      </c>
      <c r="M22" s="1587"/>
      <c r="N22" s="31"/>
    </row>
    <row r="23" spans="1:14" ht="21" customHeight="1">
      <c r="A23" s="298" t="s">
        <v>641</v>
      </c>
      <c r="B23" s="1324">
        <v>158</v>
      </c>
      <c r="C23" s="1316"/>
      <c r="D23" s="1324">
        <v>72673</v>
      </c>
      <c r="E23" s="1316"/>
      <c r="F23" s="1324">
        <v>17142</v>
      </c>
      <c r="G23" s="1316"/>
      <c r="H23" s="1324">
        <v>151731</v>
      </c>
      <c r="I23" s="1316"/>
      <c r="J23" s="1586">
        <f>SUM(F23,H23)</f>
        <v>168873</v>
      </c>
      <c r="K23" s="1587"/>
      <c r="L23" s="1586">
        <v>147590</v>
      </c>
      <c r="M23" s="1587"/>
      <c r="N23" s="225"/>
    </row>
    <row r="24" spans="1:14" ht="21" customHeight="1">
      <c r="A24" s="298" t="s">
        <v>909</v>
      </c>
      <c r="B24" s="1324">
        <v>158</v>
      </c>
      <c r="C24" s="1316"/>
      <c r="D24" s="1324">
        <v>72673</v>
      </c>
      <c r="E24" s="1316"/>
      <c r="F24" s="1324">
        <v>17136</v>
      </c>
      <c r="G24" s="1316"/>
      <c r="H24" s="1324">
        <v>151725</v>
      </c>
      <c r="I24" s="1316"/>
      <c r="J24" s="1586">
        <f>SUM(F24,H24)</f>
        <v>168861</v>
      </c>
      <c r="K24" s="1587"/>
      <c r="L24" s="1586">
        <v>150160</v>
      </c>
      <c r="M24" s="1587"/>
      <c r="N24" s="225"/>
    </row>
    <row r="25" spans="1:14" ht="21" customHeight="1">
      <c r="A25" s="299" t="s">
        <v>895</v>
      </c>
      <c r="B25" s="1447">
        <v>158</v>
      </c>
      <c r="C25" s="1448"/>
      <c r="D25" s="1447">
        <v>72673</v>
      </c>
      <c r="E25" s="1448"/>
      <c r="F25" s="1447">
        <v>17132</v>
      </c>
      <c r="G25" s="1448"/>
      <c r="H25" s="1447">
        <v>151723</v>
      </c>
      <c r="I25" s="1448"/>
      <c r="J25" s="1589">
        <v>168855</v>
      </c>
      <c r="K25" s="1590"/>
      <c r="L25" s="1589">
        <v>152140</v>
      </c>
      <c r="M25" s="1590"/>
      <c r="N25" s="31"/>
    </row>
    <row r="26" spans="1:14">
      <c r="A26" s="359"/>
      <c r="B26" s="53"/>
      <c r="C26" s="359"/>
      <c r="D26" s="359"/>
      <c r="E26" s="359"/>
      <c r="F26" s="359"/>
      <c r="G26" s="359"/>
      <c r="I26" s="949" t="s">
        <v>80</v>
      </c>
      <c r="J26" s="927" t="s">
        <v>636</v>
      </c>
      <c r="K26" s="936"/>
      <c r="L26" s="1029"/>
      <c r="M26" s="1029"/>
    </row>
    <row r="27" spans="1:14">
      <c r="I27" s="1030" t="s">
        <v>81</v>
      </c>
      <c r="J27" s="936" t="s">
        <v>637</v>
      </c>
      <c r="K27" s="1029"/>
      <c r="L27" s="1029"/>
      <c r="M27" s="1029"/>
    </row>
    <row r="28" spans="1:14">
      <c r="I28" s="1030" t="s">
        <v>82</v>
      </c>
      <c r="J28" s="936" t="s">
        <v>866</v>
      </c>
      <c r="K28" s="1029"/>
      <c r="L28" s="1029"/>
      <c r="M28" s="1029"/>
    </row>
    <row r="29" spans="1:14">
      <c r="I29" s="1059" t="s">
        <v>83</v>
      </c>
      <c r="J29" s="936" t="s">
        <v>24</v>
      </c>
      <c r="K29" s="1029"/>
      <c r="L29" s="1029"/>
      <c r="M29" s="1029"/>
    </row>
  </sheetData>
  <mergeCells count="51">
    <mergeCell ref="J21:K21"/>
    <mergeCell ref="F20:G20"/>
    <mergeCell ref="F18:K18"/>
    <mergeCell ref="J19:K19"/>
    <mergeCell ref="H19:I19"/>
    <mergeCell ref="H20:I20"/>
    <mergeCell ref="F19:G19"/>
    <mergeCell ref="H22:I22"/>
    <mergeCell ref="H23:I23"/>
    <mergeCell ref="F22:G22"/>
    <mergeCell ref="B18:C19"/>
    <mergeCell ref="D20:E20"/>
    <mergeCell ref="H21:I21"/>
    <mergeCell ref="A1:M1"/>
    <mergeCell ref="A16:M16"/>
    <mergeCell ref="A2:M2"/>
    <mergeCell ref="A3:A4"/>
    <mergeCell ref="H3:M3"/>
    <mergeCell ref="B3:G3"/>
    <mergeCell ref="A17:M17"/>
    <mergeCell ref="A18:A19"/>
    <mergeCell ref="H24:I24"/>
    <mergeCell ref="B24:C24"/>
    <mergeCell ref="B21:C21"/>
    <mergeCell ref="B22:C22"/>
    <mergeCell ref="B23:C23"/>
    <mergeCell ref="D22:E22"/>
    <mergeCell ref="D23:E23"/>
    <mergeCell ref="L18:M19"/>
    <mergeCell ref="L20:M20"/>
    <mergeCell ref="J20:K20"/>
    <mergeCell ref="D18:E19"/>
    <mergeCell ref="F23:G23"/>
    <mergeCell ref="J23:K23"/>
    <mergeCell ref="B20:C20"/>
    <mergeCell ref="B25:C25"/>
    <mergeCell ref="D21:E21"/>
    <mergeCell ref="L22:M22"/>
    <mergeCell ref="H25:I25"/>
    <mergeCell ref="D24:E24"/>
    <mergeCell ref="D25:E25"/>
    <mergeCell ref="F25:G25"/>
    <mergeCell ref="F24:G24"/>
    <mergeCell ref="L21:M21"/>
    <mergeCell ref="F21:G21"/>
    <mergeCell ref="J24:K24"/>
    <mergeCell ref="J25:K25"/>
    <mergeCell ref="L23:M23"/>
    <mergeCell ref="L24:M24"/>
    <mergeCell ref="L25:M25"/>
    <mergeCell ref="J22:K22"/>
  </mergeCells>
  <phoneticPr fontId="0" type="noConversion"/>
  <conditionalFormatting sqref="A1:B1048576 C24:C65536 C1:C20 D1:D1048576 E24:E65536 E1:E20 F1:F1048576 G24:G65536 G1:G20 H1:H1048576 I24:I65536 I1:I20 J1:J1048576 K24:K65536 K1:K20 L1:L1048576 N1:IV1048576 M1:M20 M24:M65536">
    <cfRule type="cellIs" dxfId="9" priority="1" stopIfTrue="1" operator="equal">
      <formula>".."</formula>
    </cfRule>
  </conditionalFormatting>
  <printOptions horizontalCentered="1"/>
  <pageMargins left="0.1" right="0.1" top="0.35" bottom="0.1" header="0.15" footer="0.1"/>
  <pageSetup paperSize="9" orientation="landscape" blackAndWhite="1" r:id="rId1"/>
  <headerFooter alignWithMargins="0"/>
</worksheet>
</file>

<file path=xl/worksheets/sheet46.xml><?xml version="1.0" encoding="utf-8"?>
<worksheet xmlns="http://schemas.openxmlformats.org/spreadsheetml/2006/main" xmlns:r="http://schemas.openxmlformats.org/officeDocument/2006/relationships">
  <sheetPr codeName="Sheet50"/>
  <dimension ref="A1:L29"/>
  <sheetViews>
    <sheetView topLeftCell="A16" workbookViewId="0">
      <selection activeCell="G16" sqref="G16"/>
    </sheetView>
  </sheetViews>
  <sheetFormatPr defaultRowHeight="12.75"/>
  <cols>
    <col min="1" max="1" width="31.7109375" customWidth="1"/>
    <col min="2" max="2" width="16.28515625" customWidth="1"/>
    <col min="3" max="4" width="13.140625" customWidth="1"/>
    <col min="5" max="5" width="13.28515625" customWidth="1"/>
    <col min="6" max="6" width="13.140625" customWidth="1"/>
    <col min="7" max="7" width="13.7109375" customWidth="1"/>
  </cols>
  <sheetData>
    <row r="1" spans="1:12" ht="13.5" customHeight="1">
      <c r="A1" s="1286" t="s">
        <v>435</v>
      </c>
      <c r="B1" s="1286"/>
      <c r="C1" s="1286"/>
      <c r="D1" s="1286"/>
      <c r="E1" s="1286"/>
      <c r="F1" s="1286"/>
      <c r="G1" s="1286"/>
    </row>
    <row r="2" spans="1:12" s="359" customFormat="1" ht="36" customHeight="1">
      <c r="A2" s="1437" t="str">
        <f>CONCATENATE("Classification of Forest Area, Out-turn of Forest Produce, Revenue 
and Expenditure of Forest Department in the district of ",District!A1)</f>
        <v>Classification of Forest Area, Out-turn of Forest Produce, Revenue 
and Expenditure of Forest Department in the district of Jalpaiguri</v>
      </c>
      <c r="B2" s="1437"/>
      <c r="C2" s="1437"/>
      <c r="D2" s="1437"/>
      <c r="E2" s="1437"/>
      <c r="F2" s="1437"/>
      <c r="G2" s="1437"/>
      <c r="H2" s="24"/>
      <c r="I2" s="24"/>
      <c r="J2" s="24"/>
      <c r="K2" s="24"/>
      <c r="L2" s="24"/>
    </row>
    <row r="3" spans="1:12" ht="9.75" customHeight="1">
      <c r="A3" s="359"/>
      <c r="B3" s="359"/>
      <c r="C3" s="359"/>
      <c r="D3" s="359"/>
      <c r="E3" s="359"/>
      <c r="F3" s="359"/>
      <c r="G3" s="359"/>
    </row>
    <row r="4" spans="1:12" ht="18" customHeight="1">
      <c r="A4" s="362" t="s">
        <v>1049</v>
      </c>
      <c r="B4" s="406" t="s">
        <v>99</v>
      </c>
      <c r="C4" s="406" t="s">
        <v>1110</v>
      </c>
      <c r="D4" s="406" t="s">
        <v>1111</v>
      </c>
      <c r="E4" s="406" t="s">
        <v>641</v>
      </c>
      <c r="F4" s="406" t="s">
        <v>909</v>
      </c>
      <c r="G4" s="406" t="s">
        <v>895</v>
      </c>
    </row>
    <row r="5" spans="1:12" s="359" customFormat="1" ht="18" customHeight="1">
      <c r="A5" s="92" t="s">
        <v>278</v>
      </c>
      <c r="B5" s="57" t="s">
        <v>279</v>
      </c>
      <c r="C5" s="87" t="s">
        <v>280</v>
      </c>
      <c r="D5" s="57" t="s">
        <v>281</v>
      </c>
      <c r="E5" s="87" t="s">
        <v>282</v>
      </c>
      <c r="F5" s="57" t="s">
        <v>283</v>
      </c>
      <c r="G5" s="58" t="s">
        <v>284</v>
      </c>
    </row>
    <row r="6" spans="1:12" ht="21.75" customHeight="1">
      <c r="A6" s="697" t="s">
        <v>858</v>
      </c>
      <c r="B6" s="492"/>
      <c r="C6" s="492"/>
      <c r="D6" s="492"/>
      <c r="E6" s="492"/>
      <c r="F6" s="492"/>
      <c r="G6" s="696"/>
    </row>
    <row r="7" spans="1:12" ht="18.75" customHeight="1">
      <c r="A7" s="284" t="s">
        <v>1050</v>
      </c>
      <c r="B7" s="305" t="s">
        <v>1055</v>
      </c>
      <c r="C7" s="428">
        <v>144300</v>
      </c>
      <c r="D7" s="428">
        <v>144300</v>
      </c>
      <c r="E7" s="428">
        <v>144300</v>
      </c>
      <c r="F7" s="428">
        <v>144300</v>
      </c>
      <c r="G7" s="428">
        <v>144300</v>
      </c>
    </row>
    <row r="8" spans="1:12" ht="18" customHeight="1">
      <c r="A8" s="284" t="s">
        <v>1051</v>
      </c>
      <c r="B8" s="305" t="s">
        <v>111</v>
      </c>
      <c r="C8" s="428">
        <v>16600</v>
      </c>
      <c r="D8" s="428">
        <v>16600</v>
      </c>
      <c r="E8" s="428">
        <v>16600</v>
      </c>
      <c r="F8" s="428">
        <v>16600</v>
      </c>
      <c r="G8" s="428">
        <v>16600</v>
      </c>
    </row>
    <row r="9" spans="1:12" ht="18" customHeight="1">
      <c r="A9" s="284" t="s">
        <v>1052</v>
      </c>
      <c r="B9" s="305" t="s">
        <v>111</v>
      </c>
      <c r="C9" s="428">
        <v>6411</v>
      </c>
      <c r="D9" s="428">
        <v>6411</v>
      </c>
      <c r="E9" s="428">
        <v>6411</v>
      </c>
      <c r="F9" s="428">
        <v>6411</v>
      </c>
      <c r="G9" s="428">
        <v>6411</v>
      </c>
    </row>
    <row r="10" spans="1:12" ht="18" customHeight="1">
      <c r="A10" s="284" t="s">
        <v>1053</v>
      </c>
      <c r="B10" s="305" t="s">
        <v>111</v>
      </c>
      <c r="C10" s="428">
        <v>1421</v>
      </c>
      <c r="D10" s="428">
        <v>1421</v>
      </c>
      <c r="E10" s="428">
        <v>1421</v>
      </c>
      <c r="F10" s="428">
        <v>1421</v>
      </c>
      <c r="G10" s="428">
        <v>1421</v>
      </c>
    </row>
    <row r="11" spans="1:12" ht="18" customHeight="1">
      <c r="A11" s="284" t="s">
        <v>135</v>
      </c>
      <c r="B11" s="305" t="s">
        <v>111</v>
      </c>
      <c r="C11" s="428" t="s">
        <v>570</v>
      </c>
      <c r="D11" s="428" t="s">
        <v>570</v>
      </c>
      <c r="E11" s="428" t="s">
        <v>570</v>
      </c>
      <c r="F11" s="428" t="s">
        <v>570</v>
      </c>
      <c r="G11" s="428" t="s">
        <v>570</v>
      </c>
    </row>
    <row r="12" spans="1:12" ht="18" customHeight="1">
      <c r="A12" s="284" t="s">
        <v>859</v>
      </c>
      <c r="B12" s="305" t="s">
        <v>111</v>
      </c>
      <c r="C12" s="428" t="s">
        <v>570</v>
      </c>
      <c r="D12" s="428" t="s">
        <v>570</v>
      </c>
      <c r="E12" s="428" t="s">
        <v>570</v>
      </c>
      <c r="F12" s="428" t="s">
        <v>570</v>
      </c>
      <c r="G12" s="428" t="s">
        <v>570</v>
      </c>
    </row>
    <row r="13" spans="1:12" ht="18" customHeight="1">
      <c r="A13" s="284" t="s">
        <v>1054</v>
      </c>
      <c r="B13" s="305" t="s">
        <v>111</v>
      </c>
      <c r="C13" s="428">
        <v>10268</v>
      </c>
      <c r="D13" s="428">
        <v>10268</v>
      </c>
      <c r="E13" s="428">
        <v>10268</v>
      </c>
      <c r="F13" s="428">
        <v>10268</v>
      </c>
      <c r="G13" s="428">
        <v>10268</v>
      </c>
    </row>
    <row r="14" spans="1:12" ht="18" customHeight="1">
      <c r="A14" s="1062" t="s">
        <v>1404</v>
      </c>
      <c r="B14" s="305" t="s">
        <v>111</v>
      </c>
      <c r="C14" s="1060" t="s">
        <v>570</v>
      </c>
      <c r="D14" s="1061" t="s">
        <v>570</v>
      </c>
      <c r="E14" s="1061" t="s">
        <v>570</v>
      </c>
      <c r="F14" s="1061" t="s">
        <v>570</v>
      </c>
      <c r="G14" s="1061" t="s">
        <v>570</v>
      </c>
    </row>
    <row r="15" spans="1:12" ht="20.25" customHeight="1">
      <c r="A15" s="698" t="s">
        <v>300</v>
      </c>
      <c r="B15" s="699"/>
      <c r="C15" s="700">
        <f>SUM(C7:C13)</f>
        <v>179000</v>
      </c>
      <c r="D15" s="701">
        <f>SUM(D7:D13)</f>
        <v>179000</v>
      </c>
      <c r="E15" s="701">
        <f>SUM(E7:E13)</f>
        <v>179000</v>
      </c>
      <c r="F15" s="701">
        <f>SUM(F7:F13)</f>
        <v>179000</v>
      </c>
      <c r="G15" s="701">
        <f>SUM(G7:G13)</f>
        <v>179000</v>
      </c>
    </row>
    <row r="16" spans="1:12" ht="18" customHeight="1">
      <c r="A16" s="261" t="s">
        <v>638</v>
      </c>
      <c r="B16" s="493"/>
      <c r="C16" s="494"/>
      <c r="D16" s="493"/>
      <c r="E16" s="495"/>
      <c r="F16" s="495"/>
      <c r="G16" s="495"/>
    </row>
    <row r="17" spans="1:9" ht="18" customHeight="1">
      <c r="A17" s="284" t="s">
        <v>1056</v>
      </c>
      <c r="B17" s="1098" t="s">
        <v>1510</v>
      </c>
      <c r="C17" s="283">
        <v>20.86</v>
      </c>
      <c r="D17" s="283">
        <v>11.77</v>
      </c>
      <c r="E17" s="283">
        <v>12.56</v>
      </c>
      <c r="F17" s="283">
        <v>25.93</v>
      </c>
      <c r="G17" s="283">
        <v>21.68</v>
      </c>
    </row>
    <row r="18" spans="1:9" ht="18" customHeight="1">
      <c r="A18" s="284" t="s">
        <v>1057</v>
      </c>
      <c r="B18" s="305" t="s">
        <v>389</v>
      </c>
      <c r="C18" s="149">
        <v>7967</v>
      </c>
      <c r="D18" s="149">
        <v>6014</v>
      </c>
      <c r="E18" s="149">
        <v>6232</v>
      </c>
      <c r="F18" s="149">
        <v>6381</v>
      </c>
      <c r="G18" s="149">
        <v>6645</v>
      </c>
    </row>
    <row r="19" spans="1:9" ht="18" customHeight="1">
      <c r="A19" s="284" t="s">
        <v>1058</v>
      </c>
      <c r="B19" s="305" t="s">
        <v>101</v>
      </c>
      <c r="C19" s="149">
        <v>333</v>
      </c>
      <c r="D19" s="149">
        <v>474</v>
      </c>
      <c r="E19" s="149">
        <v>436</v>
      </c>
      <c r="F19" s="149">
        <v>639</v>
      </c>
      <c r="G19" s="149">
        <v>624</v>
      </c>
    </row>
    <row r="20" spans="1:9" ht="18" customHeight="1">
      <c r="A20" s="261" t="s">
        <v>639</v>
      </c>
      <c r="B20" s="493"/>
      <c r="C20" s="495"/>
      <c r="D20" s="495"/>
      <c r="E20" s="495"/>
      <c r="F20" s="495"/>
      <c r="G20" s="495"/>
    </row>
    <row r="21" spans="1:9" ht="18" customHeight="1">
      <c r="A21" s="284" t="s">
        <v>1059</v>
      </c>
      <c r="B21" s="1097" t="s">
        <v>1240</v>
      </c>
      <c r="C21" s="48">
        <v>243450</v>
      </c>
      <c r="D21" s="48">
        <v>247745</v>
      </c>
      <c r="E21" s="48">
        <v>253798</v>
      </c>
      <c r="F21" s="48">
        <v>279897</v>
      </c>
      <c r="G21" s="48">
        <v>280159</v>
      </c>
    </row>
    <row r="22" spans="1:9" ht="18" customHeight="1">
      <c r="A22" s="303" t="s">
        <v>1060</v>
      </c>
      <c r="B22" s="306" t="s">
        <v>111</v>
      </c>
      <c r="C22" s="414">
        <v>392726</v>
      </c>
      <c r="D22" s="414">
        <v>434170</v>
      </c>
      <c r="E22" s="414">
        <v>455480</v>
      </c>
      <c r="F22" s="414">
        <v>452751</v>
      </c>
      <c r="G22" s="414">
        <v>450138</v>
      </c>
    </row>
    <row r="23" spans="1:9" ht="12.75" customHeight="1">
      <c r="A23" s="392"/>
      <c r="C23" s="892" t="s">
        <v>960</v>
      </c>
      <c r="D23" s="898" t="s">
        <v>653</v>
      </c>
      <c r="E23" s="898"/>
      <c r="F23" s="898"/>
      <c r="G23" s="898"/>
    </row>
    <row r="24" spans="1:9" ht="12.75" customHeight="1">
      <c r="A24" s="392"/>
      <c r="C24" s="928" t="s">
        <v>340</v>
      </c>
      <c r="D24" s="755" t="s">
        <v>867</v>
      </c>
      <c r="E24" s="755"/>
      <c r="F24" s="887"/>
      <c r="G24" s="755"/>
      <c r="H24" s="69"/>
      <c r="I24" s="69"/>
    </row>
    <row r="25" spans="1:9" ht="18" customHeight="1"/>
    <row r="26" spans="1:9" ht="18" customHeight="1"/>
    <row r="27" spans="1:9" ht="18" customHeight="1"/>
    <row r="29" spans="1:9">
      <c r="E29" t="s">
        <v>1480</v>
      </c>
    </row>
  </sheetData>
  <mergeCells count="2">
    <mergeCell ref="A1:G1"/>
    <mergeCell ref="A2:G2"/>
  </mergeCells>
  <phoneticPr fontId="0" type="noConversion"/>
  <printOptions horizontalCentered="1"/>
  <pageMargins left="0.1" right="0.1" top="1.08" bottom="0.1" header="0.5" footer="0.1"/>
  <pageSetup paperSize="9" orientation="landscape" blackAndWhite="1" r:id="rId1"/>
  <headerFooter alignWithMargins="0"/>
</worksheet>
</file>

<file path=xl/worksheets/sheet47.xml><?xml version="1.0" encoding="utf-8"?>
<worksheet xmlns="http://schemas.openxmlformats.org/spreadsheetml/2006/main" xmlns:r="http://schemas.openxmlformats.org/officeDocument/2006/relationships">
  <sheetPr codeName="Sheet51"/>
  <dimension ref="B1:L36"/>
  <sheetViews>
    <sheetView topLeftCell="A7" workbookViewId="0">
      <selection activeCell="G16" sqref="G16"/>
    </sheetView>
  </sheetViews>
  <sheetFormatPr defaultRowHeight="12.75"/>
  <cols>
    <col min="1" max="1" width="3.85546875" customWidth="1"/>
    <col min="2" max="2" width="16.5703125" customWidth="1"/>
    <col min="3" max="3" width="11.140625" customWidth="1"/>
    <col min="4" max="4" width="12.28515625" customWidth="1"/>
    <col min="5" max="5" width="14.42578125" customWidth="1"/>
    <col min="6" max="6" width="10.85546875" customWidth="1"/>
    <col min="7" max="7" width="11.85546875" customWidth="1"/>
    <col min="8" max="8" width="10.7109375" customWidth="1"/>
    <col min="9" max="9" width="10.42578125" customWidth="1"/>
    <col min="10" max="10" width="13.140625" customWidth="1"/>
    <col min="11" max="11" width="13.42578125" customWidth="1"/>
    <col min="12" max="12" width="14.42578125" customWidth="1"/>
  </cols>
  <sheetData>
    <row r="1" spans="2:12" ht="12.75" customHeight="1">
      <c r="B1" s="1286" t="s">
        <v>436</v>
      </c>
      <c r="C1" s="1286"/>
      <c r="D1" s="1286"/>
      <c r="E1" s="1286"/>
      <c r="F1" s="1286"/>
      <c r="G1" s="1286"/>
      <c r="H1" s="1286"/>
      <c r="I1" s="1286"/>
      <c r="J1" s="1286"/>
      <c r="K1" s="1286"/>
      <c r="L1" s="1286"/>
    </row>
    <row r="2" spans="2:12" ht="18" customHeight="1">
      <c r="B2" s="1287" t="str">
        <f>CONCATENATE("Area Irrigated by different sources in the district of ",District!A1)</f>
        <v>Area Irrigated by different sources in the district of Jalpaiguri</v>
      </c>
      <c r="C2" s="1287"/>
      <c r="D2" s="1287"/>
      <c r="E2" s="1287"/>
      <c r="F2" s="1287"/>
      <c r="G2" s="1287"/>
      <c r="H2" s="1287"/>
      <c r="I2" s="1287"/>
      <c r="J2" s="1287"/>
      <c r="K2" s="1287"/>
      <c r="L2" s="1287"/>
    </row>
    <row r="3" spans="2:12" ht="12" customHeight="1">
      <c r="B3" s="359"/>
      <c r="C3" s="405"/>
      <c r="D3" s="405"/>
      <c r="E3" s="405"/>
      <c r="F3" s="405"/>
      <c r="G3" s="405"/>
      <c r="H3" s="405"/>
      <c r="I3" s="405"/>
      <c r="J3" s="405"/>
      <c r="K3" s="498"/>
      <c r="L3" s="665" t="s">
        <v>1400</v>
      </c>
    </row>
    <row r="4" spans="2:12" ht="18" customHeight="1">
      <c r="B4" s="1288" t="s">
        <v>98</v>
      </c>
      <c r="C4" s="1444" t="s">
        <v>1068</v>
      </c>
      <c r="D4" s="1444"/>
      <c r="E4" s="1444"/>
      <c r="F4" s="1444"/>
      <c r="G4" s="1444"/>
      <c r="H4" s="1444"/>
      <c r="I4" s="1444"/>
      <c r="J4" s="1444"/>
      <c r="K4" s="1444"/>
      <c r="L4" s="1446"/>
    </row>
    <row r="5" spans="2:12" ht="27" customHeight="1">
      <c r="B5" s="1301"/>
      <c r="C5" s="370" t="s">
        <v>1241</v>
      </c>
      <c r="D5" s="406" t="s">
        <v>1061</v>
      </c>
      <c r="E5" s="370" t="s">
        <v>1062</v>
      </c>
      <c r="F5" s="406" t="s">
        <v>1063</v>
      </c>
      <c r="G5" s="370" t="s">
        <v>1064</v>
      </c>
      <c r="H5" s="406" t="s">
        <v>1065</v>
      </c>
      <c r="I5" s="370" t="s">
        <v>1066</v>
      </c>
      <c r="J5" s="406" t="s">
        <v>1067</v>
      </c>
      <c r="K5" s="628" t="s">
        <v>545</v>
      </c>
      <c r="L5" s="657" t="s">
        <v>300</v>
      </c>
    </row>
    <row r="6" spans="2:12" ht="18" customHeight="1">
      <c r="B6" s="57" t="s">
        <v>278</v>
      </c>
      <c r="C6" s="87" t="s">
        <v>279</v>
      </c>
      <c r="D6" s="57" t="s">
        <v>280</v>
      </c>
      <c r="E6" s="87" t="s">
        <v>281</v>
      </c>
      <c r="F6" s="57" t="s">
        <v>282</v>
      </c>
      <c r="G6" s="87" t="s">
        <v>283</v>
      </c>
      <c r="H6" s="57" t="s">
        <v>284</v>
      </c>
      <c r="I6" s="87" t="s">
        <v>301</v>
      </c>
      <c r="J6" s="57" t="s">
        <v>302</v>
      </c>
      <c r="K6" s="93" t="s">
        <v>303</v>
      </c>
      <c r="L6" s="59" t="s">
        <v>304</v>
      </c>
    </row>
    <row r="7" spans="2:12" ht="21.75" customHeight="1">
      <c r="B7" s="554" t="s">
        <v>1110</v>
      </c>
      <c r="C7" s="269">
        <v>71.73</v>
      </c>
      <c r="D7" s="438">
        <v>2.12</v>
      </c>
      <c r="E7" s="225">
        <v>1.96</v>
      </c>
      <c r="F7" s="294" t="s">
        <v>570</v>
      </c>
      <c r="G7" s="24" t="s">
        <v>570</v>
      </c>
      <c r="H7" s="438">
        <v>14.6</v>
      </c>
      <c r="I7" s="585">
        <v>11.88</v>
      </c>
      <c r="J7" s="438">
        <v>0.28799999999999998</v>
      </c>
      <c r="K7" s="585" t="s">
        <v>117</v>
      </c>
      <c r="L7" s="295">
        <f>SUM(C7:K7)</f>
        <v>102.57799999999999</v>
      </c>
    </row>
    <row r="8" spans="2:12" ht="21.75" customHeight="1">
      <c r="B8" s="554" t="s">
        <v>1111</v>
      </c>
      <c r="C8" s="31" t="s">
        <v>149</v>
      </c>
      <c r="D8" s="438">
        <v>2.12</v>
      </c>
      <c r="E8" s="585">
        <v>2</v>
      </c>
      <c r="F8" s="294" t="s">
        <v>570</v>
      </c>
      <c r="G8" s="24" t="s">
        <v>570</v>
      </c>
      <c r="H8" s="438">
        <v>19.420000000000002</v>
      </c>
      <c r="I8" s="225">
        <v>13.08</v>
      </c>
      <c r="J8" s="438">
        <v>0.48899999999999999</v>
      </c>
      <c r="K8" s="585" t="s">
        <v>117</v>
      </c>
      <c r="L8" s="295">
        <f>SUM(C8:K8)+39.35</f>
        <v>76.459000000000003</v>
      </c>
    </row>
    <row r="9" spans="2:12" ht="21.75" customHeight="1">
      <c r="B9" s="554" t="s">
        <v>641</v>
      </c>
      <c r="C9" s="269">
        <v>51.96</v>
      </c>
      <c r="D9" s="438">
        <v>2.12</v>
      </c>
      <c r="E9" s="585">
        <v>1.94</v>
      </c>
      <c r="F9" s="294" t="s">
        <v>570</v>
      </c>
      <c r="G9" s="24" t="s">
        <v>570</v>
      </c>
      <c r="H9" s="438">
        <v>22.8</v>
      </c>
      <c r="I9" s="585">
        <v>13.25</v>
      </c>
      <c r="J9" s="438">
        <v>0.54300000000000004</v>
      </c>
      <c r="K9" s="585" t="s">
        <v>117</v>
      </c>
      <c r="L9" s="295">
        <f>SUM(C9:K9)</f>
        <v>92.613</v>
      </c>
    </row>
    <row r="10" spans="2:12" ht="21.75" customHeight="1">
      <c r="B10" s="554" t="s">
        <v>909</v>
      </c>
      <c r="C10" s="269">
        <v>96.1</v>
      </c>
      <c r="D10" s="438">
        <v>2.12</v>
      </c>
      <c r="E10" s="585">
        <v>1.94</v>
      </c>
      <c r="F10" s="294" t="s">
        <v>570</v>
      </c>
      <c r="G10" s="24" t="s">
        <v>570</v>
      </c>
      <c r="H10" s="438">
        <v>23.03</v>
      </c>
      <c r="I10" s="585">
        <v>13.28</v>
      </c>
      <c r="J10" s="438">
        <v>0.59</v>
      </c>
      <c r="K10" s="585" t="s">
        <v>117</v>
      </c>
      <c r="L10" s="295">
        <f>SUM(C10:K10)</f>
        <v>137.06</v>
      </c>
    </row>
    <row r="11" spans="2:12" ht="21.75" customHeight="1">
      <c r="B11" s="559" t="s">
        <v>895</v>
      </c>
      <c r="C11" s="271">
        <v>99.2</v>
      </c>
      <c r="D11" s="439">
        <v>2.12</v>
      </c>
      <c r="E11" s="557">
        <v>1.97</v>
      </c>
      <c r="F11" s="341" t="s">
        <v>570</v>
      </c>
      <c r="G11" s="29" t="s">
        <v>570</v>
      </c>
      <c r="H11" s="439">
        <v>28.4</v>
      </c>
      <c r="I11" s="557">
        <v>13.3</v>
      </c>
      <c r="J11" s="439">
        <v>0.64</v>
      </c>
      <c r="K11" s="557" t="s">
        <v>570</v>
      </c>
      <c r="L11" s="680">
        <f>SUM(C11:K11)</f>
        <v>145.63</v>
      </c>
    </row>
    <row r="12" spans="2:12">
      <c r="B12" s="497"/>
      <c r="C12" s="383"/>
      <c r="D12" s="408"/>
      <c r="E12" s="408"/>
      <c r="F12" s="383"/>
      <c r="G12" s="408"/>
      <c r="H12" s="408"/>
      <c r="I12" s="858" t="s">
        <v>960</v>
      </c>
      <c r="J12" s="499" t="s">
        <v>654</v>
      </c>
      <c r="K12" s="499"/>
      <c r="L12" s="499"/>
    </row>
    <row r="13" spans="2:12">
      <c r="B13" s="408"/>
      <c r="C13" s="383"/>
      <c r="D13" s="408"/>
      <c r="E13" s="408"/>
      <c r="F13" s="383"/>
      <c r="G13" s="408"/>
      <c r="H13" s="408"/>
      <c r="I13" s="500"/>
      <c r="J13" s="499" t="s">
        <v>1244</v>
      </c>
      <c r="K13" s="499"/>
      <c r="L13" s="499"/>
    </row>
    <row r="14" spans="2:12">
      <c r="B14" s="408"/>
      <c r="C14" s="383"/>
      <c r="D14" s="408"/>
      <c r="E14" s="408"/>
      <c r="F14" s="383"/>
      <c r="G14" s="408"/>
      <c r="H14" s="408"/>
      <c r="I14" s="500"/>
      <c r="J14" s="499" t="s">
        <v>266</v>
      </c>
      <c r="K14" s="499"/>
      <c r="L14" s="499"/>
    </row>
    <row r="15" spans="2:12">
      <c r="B15" s="408"/>
      <c r="C15" s="383"/>
      <c r="D15" s="408"/>
      <c r="E15" s="408"/>
      <c r="F15" s="408"/>
      <c r="G15" s="359"/>
      <c r="H15" s="359"/>
      <c r="I15" s="887"/>
      <c r="J15" s="887"/>
      <c r="K15" s="887"/>
      <c r="L15" s="887"/>
    </row>
    <row r="16" spans="2:12">
      <c r="B16" s="408"/>
      <c r="C16" s="383"/>
      <c r="D16" s="408"/>
      <c r="E16" s="408"/>
      <c r="F16" s="408"/>
      <c r="G16" s="359"/>
      <c r="H16" s="359"/>
      <c r="I16" s="359"/>
      <c r="J16" s="359"/>
      <c r="K16" s="359"/>
      <c r="L16" s="359"/>
    </row>
    <row r="17" spans="2:12" ht="17.25" customHeight="1">
      <c r="B17" s="500" t="s">
        <v>1503</v>
      </c>
      <c r="C17" s="56"/>
      <c r="D17" s="408"/>
      <c r="F17" s="408"/>
      <c r="G17" s="359"/>
      <c r="H17" s="359"/>
      <c r="I17" s="359"/>
      <c r="J17" s="359"/>
      <c r="K17" s="359"/>
      <c r="L17" s="359"/>
    </row>
    <row r="18" spans="2:12" ht="8.25" customHeight="1">
      <c r="B18" s="500"/>
      <c r="C18" s="383"/>
      <c r="D18" s="408"/>
      <c r="F18" s="408"/>
      <c r="G18" s="359"/>
      <c r="H18" s="359"/>
      <c r="I18" s="359"/>
      <c r="J18" s="359"/>
      <c r="K18" s="359"/>
      <c r="L18" s="359"/>
    </row>
    <row r="19" spans="2:12">
      <c r="B19" s="1361" t="s">
        <v>437</v>
      </c>
      <c r="C19" s="1361"/>
      <c r="D19" s="1361"/>
      <c r="E19" s="1361"/>
      <c r="F19" s="1361"/>
      <c r="G19" s="1361"/>
      <c r="H19" s="1361"/>
      <c r="I19" s="1361"/>
      <c r="J19" s="1361"/>
      <c r="K19" s="1361"/>
      <c r="L19" s="1361"/>
    </row>
    <row r="20" spans="2:12" ht="16.5">
      <c r="B20" s="1287" t="str">
        <f>CONCATENATE("Sources of Irrigation in the district of ",District!A1)</f>
        <v>Sources of Irrigation in the district of Jalpaiguri</v>
      </c>
      <c r="C20" s="1287"/>
      <c r="D20" s="1287"/>
      <c r="E20" s="1287"/>
      <c r="F20" s="1287"/>
      <c r="G20" s="1287"/>
      <c r="H20" s="1287"/>
      <c r="I20" s="1287"/>
      <c r="J20" s="1287"/>
      <c r="K20" s="1287"/>
      <c r="L20" s="1287"/>
    </row>
    <row r="21" spans="2:12" ht="12.75" customHeight="1">
      <c r="B21" s="359"/>
      <c r="C21" s="359"/>
      <c r="D21" s="359"/>
      <c r="E21" s="359"/>
      <c r="F21" s="405"/>
      <c r="G21" s="359"/>
      <c r="H21" s="359"/>
      <c r="I21" s="359"/>
      <c r="J21" s="359"/>
      <c r="K21" s="359"/>
      <c r="L21" s="1043" t="s">
        <v>312</v>
      </c>
    </row>
    <row r="22" spans="2:12" ht="15.95" customHeight="1">
      <c r="B22" s="1630" t="s">
        <v>98</v>
      </c>
      <c r="C22" s="1631"/>
      <c r="D22" s="1630" t="s">
        <v>1061</v>
      </c>
      <c r="E22" s="1636"/>
      <c r="F22" s="406" t="s">
        <v>1062</v>
      </c>
      <c r="G22" s="636" t="s">
        <v>1063</v>
      </c>
      <c r="H22" s="406" t="s">
        <v>1064</v>
      </c>
      <c r="I22" s="636" t="s">
        <v>1065</v>
      </c>
      <c r="J22" s="406" t="s">
        <v>1066</v>
      </c>
      <c r="K22" s="406" t="s">
        <v>1067</v>
      </c>
      <c r="L22" s="637" t="s">
        <v>545</v>
      </c>
    </row>
    <row r="23" spans="2:12" ht="15.95" customHeight="1">
      <c r="B23" s="1385" t="s">
        <v>278</v>
      </c>
      <c r="C23" s="1386"/>
      <c r="D23" s="1385" t="s">
        <v>279</v>
      </c>
      <c r="E23" s="1424"/>
      <c r="F23" s="57" t="s">
        <v>280</v>
      </c>
      <c r="G23" s="87" t="s">
        <v>281</v>
      </c>
      <c r="H23" s="57" t="s">
        <v>282</v>
      </c>
      <c r="I23" s="87" t="s">
        <v>283</v>
      </c>
      <c r="J23" s="57" t="s">
        <v>284</v>
      </c>
      <c r="K23" s="57" t="s">
        <v>301</v>
      </c>
      <c r="L23" s="58" t="s">
        <v>302</v>
      </c>
    </row>
    <row r="24" spans="2:12" ht="19.5" customHeight="1">
      <c r="B24" s="1649" t="s">
        <v>1110</v>
      </c>
      <c r="C24" s="1650"/>
      <c r="D24" s="1594">
        <v>18</v>
      </c>
      <c r="E24" s="1595"/>
      <c r="F24" s="52">
        <v>49</v>
      </c>
      <c r="G24" s="561" t="s">
        <v>570</v>
      </c>
      <c r="H24" s="554" t="s">
        <v>570</v>
      </c>
      <c r="I24" s="561">
        <v>3650</v>
      </c>
      <c r="J24" s="554">
        <v>420</v>
      </c>
      <c r="K24" s="554">
        <v>96</v>
      </c>
      <c r="L24" s="216" t="s">
        <v>117</v>
      </c>
    </row>
    <row r="25" spans="2:12" ht="19.5" customHeight="1">
      <c r="B25" s="1586" t="s">
        <v>1111</v>
      </c>
      <c r="C25" s="1587"/>
      <c r="D25" s="1586">
        <v>18</v>
      </c>
      <c r="E25" s="1587"/>
      <c r="F25" s="52">
        <v>51</v>
      </c>
      <c r="G25" s="561" t="s">
        <v>570</v>
      </c>
      <c r="H25" s="554" t="s">
        <v>570</v>
      </c>
      <c r="I25" s="561">
        <v>4855</v>
      </c>
      <c r="J25" s="554">
        <v>482</v>
      </c>
      <c r="K25" s="554">
        <v>163</v>
      </c>
      <c r="L25" s="216" t="s">
        <v>117</v>
      </c>
    </row>
    <row r="26" spans="2:12" ht="19.5" customHeight="1">
      <c r="B26" s="1586" t="s">
        <v>641</v>
      </c>
      <c r="C26" s="1587"/>
      <c r="D26" s="1586">
        <v>18</v>
      </c>
      <c r="E26" s="1587"/>
      <c r="F26" s="52">
        <v>51</v>
      </c>
      <c r="G26" s="561" t="s">
        <v>570</v>
      </c>
      <c r="H26" s="554" t="s">
        <v>570</v>
      </c>
      <c r="I26" s="561">
        <v>5033</v>
      </c>
      <c r="J26" s="554">
        <v>489</v>
      </c>
      <c r="K26" s="554">
        <v>181</v>
      </c>
      <c r="L26" s="216" t="s">
        <v>117</v>
      </c>
    </row>
    <row r="27" spans="2:12" ht="19.5" customHeight="1">
      <c r="B27" s="1324" t="s">
        <v>909</v>
      </c>
      <c r="C27" s="1587"/>
      <c r="D27" s="1586">
        <v>18</v>
      </c>
      <c r="E27" s="1591"/>
      <c r="F27" s="52">
        <v>51</v>
      </c>
      <c r="G27" s="561" t="s">
        <v>570</v>
      </c>
      <c r="H27" s="554" t="s">
        <v>570</v>
      </c>
      <c r="I27" s="561">
        <v>5048</v>
      </c>
      <c r="J27" s="554">
        <v>492</v>
      </c>
      <c r="K27" s="554">
        <v>187</v>
      </c>
      <c r="L27" s="216" t="s">
        <v>117</v>
      </c>
    </row>
    <row r="28" spans="2:12" ht="19.5" customHeight="1">
      <c r="B28" s="1447" t="s">
        <v>895</v>
      </c>
      <c r="C28" s="1590"/>
      <c r="D28" s="1589">
        <v>18</v>
      </c>
      <c r="E28" s="1588"/>
      <c r="F28" s="155">
        <v>52</v>
      </c>
      <c r="G28" s="560" t="s">
        <v>570</v>
      </c>
      <c r="H28" s="559" t="s">
        <v>570</v>
      </c>
      <c r="I28" s="560">
        <v>5789</v>
      </c>
      <c r="J28" s="559">
        <v>495</v>
      </c>
      <c r="K28" s="559">
        <v>187</v>
      </c>
      <c r="L28" s="236" t="s">
        <v>570</v>
      </c>
    </row>
    <row r="29" spans="2:12" ht="15.95" customHeight="1">
      <c r="B29" s="497"/>
      <c r="C29" s="383"/>
      <c r="D29" s="408"/>
      <c r="E29" s="408"/>
      <c r="F29" s="383"/>
      <c r="G29" s="408"/>
      <c r="H29" s="408"/>
      <c r="I29" s="858" t="s">
        <v>80</v>
      </c>
      <c r="J29" s="314" t="s">
        <v>1242</v>
      </c>
      <c r="K29" s="761"/>
      <c r="L29" s="761"/>
    </row>
    <row r="30" spans="2:12">
      <c r="C30" s="383"/>
      <c r="D30" s="408"/>
      <c r="E30" s="408"/>
      <c r="F30" s="383"/>
      <c r="G30" s="408"/>
      <c r="H30" s="408"/>
      <c r="I30" s="886" t="s">
        <v>81</v>
      </c>
      <c r="J30" s="500" t="s">
        <v>640</v>
      </c>
      <c r="K30" s="887"/>
      <c r="L30" s="887"/>
    </row>
    <row r="31" spans="2:12">
      <c r="B31" s="408"/>
      <c r="C31" s="383"/>
      <c r="D31" s="408"/>
      <c r="E31" s="408"/>
      <c r="F31" s="515"/>
      <c r="G31" s="408"/>
      <c r="H31" s="408"/>
      <c r="I31" s="886" t="s">
        <v>82</v>
      </c>
      <c r="J31" s="500" t="s">
        <v>1243</v>
      </c>
      <c r="K31" s="929"/>
      <c r="L31" s="887"/>
    </row>
    <row r="32" spans="2:12">
      <c r="B32" s="408"/>
      <c r="C32" s="383"/>
      <c r="D32" s="408"/>
      <c r="E32" s="408"/>
      <c r="F32" s="408"/>
      <c r="G32" s="359"/>
      <c r="H32" s="359"/>
      <c r="I32" s="928" t="s">
        <v>83</v>
      </c>
      <c r="J32" s="499" t="s">
        <v>1245</v>
      </c>
      <c r="K32" s="887"/>
      <c r="L32" s="887"/>
    </row>
    <row r="33" spans="2:12" ht="12.75" customHeight="1">
      <c r="B33" s="408"/>
      <c r="C33" s="383"/>
      <c r="D33" s="408"/>
      <c r="E33" s="408"/>
      <c r="F33" s="408"/>
      <c r="G33" s="359"/>
      <c r="H33" s="359"/>
      <c r="I33" s="359"/>
      <c r="J33" s="359"/>
      <c r="K33" s="359"/>
      <c r="L33" s="359"/>
    </row>
    <row r="34" spans="2:12">
      <c r="B34" s="408"/>
      <c r="C34" s="383"/>
      <c r="D34" s="408"/>
      <c r="E34" s="408"/>
      <c r="F34" s="408"/>
      <c r="G34" s="359"/>
      <c r="H34" s="359"/>
      <c r="I34" s="359"/>
      <c r="J34" s="359"/>
      <c r="K34" s="359"/>
      <c r="L34" s="359"/>
    </row>
    <row r="35" spans="2:12">
      <c r="B35" s="408"/>
      <c r="F35" s="408"/>
      <c r="G35" s="359"/>
      <c r="H35" s="359"/>
      <c r="I35" s="359"/>
      <c r="J35" s="359"/>
      <c r="K35" s="359"/>
      <c r="L35" s="359"/>
    </row>
    <row r="36" spans="2:12">
      <c r="B36" s="359"/>
      <c r="C36" s="359"/>
      <c r="D36" s="359"/>
      <c r="E36" s="359"/>
      <c r="F36" s="359"/>
      <c r="G36" s="359"/>
      <c r="H36" s="359"/>
      <c r="I36" s="359"/>
      <c r="J36" s="359"/>
      <c r="K36" s="359"/>
      <c r="L36" s="359"/>
    </row>
  </sheetData>
  <mergeCells count="20">
    <mergeCell ref="D23:E23"/>
    <mergeCell ref="B23:C23"/>
    <mergeCell ref="D24:E24"/>
    <mergeCell ref="B24:C24"/>
    <mergeCell ref="D25:E25"/>
    <mergeCell ref="D26:E26"/>
    <mergeCell ref="B25:C25"/>
    <mergeCell ref="B28:C28"/>
    <mergeCell ref="B26:C26"/>
    <mergeCell ref="D28:E28"/>
    <mergeCell ref="B27:C27"/>
    <mergeCell ref="D27:E27"/>
    <mergeCell ref="B1:L1"/>
    <mergeCell ref="B19:L19"/>
    <mergeCell ref="B2:L2"/>
    <mergeCell ref="D22:E22"/>
    <mergeCell ref="B22:C22"/>
    <mergeCell ref="B4:B5"/>
    <mergeCell ref="C4:L4"/>
    <mergeCell ref="B20:L20"/>
  </mergeCells>
  <phoneticPr fontId="0" type="noConversion"/>
  <conditionalFormatting sqref="A1:XFD1048576">
    <cfRule type="cellIs" dxfId="8" priority="1" stopIfTrue="1" operator="equal">
      <formula>".."</formula>
    </cfRule>
  </conditionalFormatting>
  <pageMargins left="0.1" right="0.1" top="0.63" bottom="0.1" header="0.5" footer="0.1"/>
  <pageSetup paperSize="9" orientation="landscape" blackAndWhite="1" r:id="rId1"/>
  <headerFooter alignWithMargins="0"/>
  <legacyDrawing r:id="rId2"/>
  <oleObjects>
    <oleObject progId="Word.Document.8" shapeId="30721" r:id="rId3"/>
    <oleObject progId="Word.Document.8" shapeId="30722" r:id="rId4"/>
  </oleObjects>
</worksheet>
</file>

<file path=xl/worksheets/sheet48.xml><?xml version="1.0" encoding="utf-8"?>
<worksheet xmlns="http://schemas.openxmlformats.org/spreadsheetml/2006/main" xmlns:r="http://schemas.openxmlformats.org/officeDocument/2006/relationships">
  <sheetPr codeName="Sheet52" enableFormatConditionsCalculation="0"/>
  <dimension ref="A1:M42"/>
  <sheetViews>
    <sheetView topLeftCell="A28" workbookViewId="0">
      <selection activeCell="B38" sqref="B38"/>
    </sheetView>
  </sheetViews>
  <sheetFormatPr defaultRowHeight="12.75"/>
  <cols>
    <col min="1" max="1" width="13" customWidth="1"/>
    <col min="2" max="2" width="13.85546875" customWidth="1"/>
    <col min="3" max="3" width="15" customWidth="1"/>
    <col min="4" max="4" width="12.85546875" customWidth="1"/>
    <col min="5" max="5" width="16.5703125" customWidth="1"/>
    <col min="7" max="7" width="9.7109375" customWidth="1"/>
  </cols>
  <sheetData>
    <row r="1" spans="1:13">
      <c r="A1" s="1361" t="s">
        <v>440</v>
      </c>
      <c r="B1" s="1361"/>
      <c r="C1" s="1361"/>
      <c r="D1" s="1361"/>
      <c r="E1" s="1361"/>
      <c r="F1" s="1361"/>
      <c r="G1" s="1361"/>
    </row>
    <row r="2" spans="1:13" ht="17.25" customHeight="1">
      <c r="A2" s="1287" t="str">
        <f>CONCATENATE("Fertilizer Consumed in the district of ",District!A1)</f>
        <v>Fertilizer Consumed in the district of Jalpaiguri</v>
      </c>
      <c r="B2" s="1287"/>
      <c r="C2" s="1287"/>
      <c r="D2" s="1287"/>
      <c r="E2" s="1287"/>
      <c r="F2" s="1287"/>
      <c r="G2" s="1287"/>
      <c r="H2" s="25"/>
      <c r="I2" s="25"/>
    </row>
    <row r="3" spans="1:13" ht="12" customHeight="1">
      <c r="A3" s="359"/>
      <c r="B3" s="359"/>
      <c r="C3" s="359"/>
      <c r="D3" s="359"/>
      <c r="E3" s="359"/>
      <c r="F3" s="1659" t="s">
        <v>1401</v>
      </c>
      <c r="G3" s="1659"/>
      <c r="I3" s="7"/>
    </row>
    <row r="4" spans="1:13" ht="18" customHeight="1">
      <c r="A4" s="1630" t="s">
        <v>98</v>
      </c>
      <c r="B4" s="1636"/>
      <c r="C4" s="406" t="s">
        <v>228</v>
      </c>
      <c r="D4" s="636" t="s">
        <v>229</v>
      </c>
      <c r="E4" s="406" t="s">
        <v>230</v>
      </c>
      <c r="F4" s="1636" t="s">
        <v>300</v>
      </c>
      <c r="G4" s="1631"/>
      <c r="H4" s="7"/>
      <c r="I4" s="7"/>
    </row>
    <row r="5" spans="1:13" ht="18.75" customHeight="1">
      <c r="A5" s="1385" t="s">
        <v>278</v>
      </c>
      <c r="B5" s="1424"/>
      <c r="C5" s="57" t="s">
        <v>279</v>
      </c>
      <c r="D5" s="87" t="s">
        <v>280</v>
      </c>
      <c r="E5" s="57" t="s">
        <v>281</v>
      </c>
      <c r="F5" s="1424" t="s">
        <v>282</v>
      </c>
      <c r="G5" s="1386"/>
      <c r="H5" s="26"/>
      <c r="I5" s="26"/>
      <c r="M5" s="818"/>
    </row>
    <row r="6" spans="1:13" ht="21" customHeight="1">
      <c r="A6" s="1657" t="s">
        <v>1110</v>
      </c>
      <c r="B6" s="1658"/>
      <c r="C6" s="727">
        <v>49.1</v>
      </c>
      <c r="D6" s="196">
        <v>28.4</v>
      </c>
      <c r="E6" s="727">
        <v>41.7</v>
      </c>
      <c r="F6" s="1660">
        <f>C6+D6+E6</f>
        <v>119.2</v>
      </c>
      <c r="G6" s="1661"/>
    </row>
    <row r="7" spans="1:13" ht="21" customHeight="1">
      <c r="A7" s="1324" t="s">
        <v>1111</v>
      </c>
      <c r="B7" s="1316"/>
      <c r="C7" s="727">
        <v>51</v>
      </c>
      <c r="D7" s="196">
        <v>31.3</v>
      </c>
      <c r="E7" s="727">
        <v>28</v>
      </c>
      <c r="F7" s="1653">
        <f>C7+D7+E7</f>
        <v>110.3</v>
      </c>
      <c r="G7" s="1654"/>
    </row>
    <row r="8" spans="1:13" ht="21" customHeight="1">
      <c r="A8" s="1324" t="s">
        <v>641</v>
      </c>
      <c r="B8" s="1316"/>
      <c r="C8" s="1172">
        <v>55.3</v>
      </c>
      <c r="D8" s="1173">
        <v>28.9</v>
      </c>
      <c r="E8" s="1172">
        <v>17.899999999999999</v>
      </c>
      <c r="F8" s="1664">
        <f>C8+D8+E8</f>
        <v>102.1</v>
      </c>
      <c r="G8" s="1665"/>
    </row>
    <row r="9" spans="1:13" ht="21" customHeight="1">
      <c r="A9" s="1324" t="s">
        <v>909</v>
      </c>
      <c r="B9" s="1316"/>
      <c r="C9" s="727">
        <v>62.1</v>
      </c>
      <c r="D9" s="196">
        <v>26</v>
      </c>
      <c r="E9" s="727">
        <v>22.5</v>
      </c>
      <c r="F9" s="1653">
        <f>C9+D9+E9</f>
        <v>110.6</v>
      </c>
      <c r="G9" s="1654"/>
    </row>
    <row r="10" spans="1:13" ht="21" customHeight="1">
      <c r="A10" s="1447" t="s">
        <v>895</v>
      </c>
      <c r="B10" s="1448"/>
      <c r="C10" s="562">
        <v>58.3</v>
      </c>
      <c r="D10" s="860">
        <v>14.5</v>
      </c>
      <c r="E10" s="562">
        <v>25.9</v>
      </c>
      <c r="F10" s="1662">
        <f>C10+D10+E10</f>
        <v>98.699999999999989</v>
      </c>
      <c r="G10" s="1663"/>
      <c r="H10" s="7"/>
      <c r="I10" s="7"/>
    </row>
    <row r="11" spans="1:13">
      <c r="C11" s="56"/>
      <c r="E11" s="501"/>
      <c r="F11" s="501"/>
      <c r="G11" s="930" t="s">
        <v>146</v>
      </c>
    </row>
    <row r="12" spans="1:13">
      <c r="C12" s="56"/>
      <c r="D12" s="501"/>
      <c r="E12" s="501"/>
      <c r="F12" s="501"/>
      <c r="G12" s="501"/>
    </row>
    <row r="13" spans="1:13">
      <c r="C13" s="56"/>
      <c r="D13" s="338"/>
      <c r="E13" s="338"/>
    </row>
    <row r="14" spans="1:13" ht="15.75" customHeight="1">
      <c r="A14" s="1393" t="s">
        <v>438</v>
      </c>
      <c r="B14" s="1393"/>
      <c r="C14" s="1393"/>
      <c r="D14" s="1393"/>
      <c r="E14" s="1393"/>
      <c r="F14" s="1393"/>
      <c r="G14" s="1393"/>
    </row>
    <row r="15" spans="1:13" ht="34.5" customHeight="1">
      <c r="A15" s="1666" t="str">
        <f>CONCATENATE("Warehousing and Cold Storage Facilities available 
to Cultivators in the district of ",District!A1)</f>
        <v>Warehousing and Cold Storage Facilities available 
to Cultivators in the district of Jalpaiguri</v>
      </c>
      <c r="B15" s="1666"/>
      <c r="C15" s="1666"/>
      <c r="D15" s="1666"/>
      <c r="E15" s="1666"/>
      <c r="F15" s="1666"/>
      <c r="G15" s="1666"/>
    </row>
    <row r="16" spans="1:13" ht="18" customHeight="1">
      <c r="A16" s="1288" t="s">
        <v>98</v>
      </c>
      <c r="B16" s="1445" t="s">
        <v>136</v>
      </c>
      <c r="C16" s="1446"/>
      <c r="D16" s="1445" t="s">
        <v>137</v>
      </c>
      <c r="E16" s="1446"/>
      <c r="F16" s="1379" t="s">
        <v>1071</v>
      </c>
      <c r="G16" s="1380"/>
    </row>
    <row r="17" spans="1:7" ht="18" customHeight="1">
      <c r="A17" s="1301"/>
      <c r="B17" s="406" t="s">
        <v>317</v>
      </c>
      <c r="C17" s="637" t="s">
        <v>1070</v>
      </c>
      <c r="D17" s="636" t="s">
        <v>317</v>
      </c>
      <c r="E17" s="406" t="s">
        <v>1070</v>
      </c>
      <c r="F17" s="1429"/>
      <c r="G17" s="1431"/>
    </row>
    <row r="18" spans="1:7" ht="18" customHeight="1">
      <c r="A18" s="57" t="s">
        <v>278</v>
      </c>
      <c r="B18" s="57" t="s">
        <v>279</v>
      </c>
      <c r="C18" s="58" t="s">
        <v>280</v>
      </c>
      <c r="D18" s="87" t="s">
        <v>281</v>
      </c>
      <c r="E18" s="57" t="s">
        <v>282</v>
      </c>
      <c r="F18" s="1655" t="s">
        <v>283</v>
      </c>
      <c r="G18" s="1656"/>
    </row>
    <row r="19" spans="1:7" ht="21" customHeight="1">
      <c r="A19" s="227" t="s">
        <v>1110</v>
      </c>
      <c r="B19" s="52">
        <v>17</v>
      </c>
      <c r="C19" s="48">
        <v>21215</v>
      </c>
      <c r="D19" s="181">
        <v>26</v>
      </c>
      <c r="E19" s="52">
        <v>322987</v>
      </c>
      <c r="F19" s="1613">
        <v>36800</v>
      </c>
      <c r="G19" s="1614"/>
    </row>
    <row r="20" spans="1:7" ht="21" customHeight="1">
      <c r="A20" s="227" t="s">
        <v>1111</v>
      </c>
      <c r="B20" s="52">
        <v>17</v>
      </c>
      <c r="C20" s="48">
        <v>21215</v>
      </c>
      <c r="D20" s="181">
        <v>26</v>
      </c>
      <c r="E20" s="52">
        <v>322987</v>
      </c>
      <c r="F20" s="1324">
        <v>37500</v>
      </c>
      <c r="G20" s="1316"/>
    </row>
    <row r="21" spans="1:7" ht="21" customHeight="1">
      <c r="A21" s="227" t="s">
        <v>641</v>
      </c>
      <c r="B21" s="52">
        <v>17</v>
      </c>
      <c r="C21" s="48">
        <v>21215</v>
      </c>
      <c r="D21" s="181">
        <v>27</v>
      </c>
      <c r="E21" s="52">
        <v>376500</v>
      </c>
      <c r="F21" s="1324">
        <v>38942</v>
      </c>
      <c r="G21" s="1316"/>
    </row>
    <row r="22" spans="1:7" ht="21" customHeight="1">
      <c r="A22" s="227" t="s">
        <v>909</v>
      </c>
      <c r="B22" s="52">
        <v>19</v>
      </c>
      <c r="C22" s="48">
        <v>39920</v>
      </c>
      <c r="D22" s="181">
        <v>27</v>
      </c>
      <c r="E22" s="52">
        <v>376500</v>
      </c>
      <c r="F22" s="1324">
        <v>39200</v>
      </c>
      <c r="G22" s="1316"/>
    </row>
    <row r="23" spans="1:7" ht="21" customHeight="1">
      <c r="A23" s="427" t="s">
        <v>895</v>
      </c>
      <c r="B23" s="52">
        <v>19</v>
      </c>
      <c r="C23" s="48">
        <v>39920</v>
      </c>
      <c r="D23" s="181">
        <v>27</v>
      </c>
      <c r="E23" s="52">
        <v>376500</v>
      </c>
      <c r="F23" s="1447">
        <v>40120</v>
      </c>
      <c r="G23" s="1448"/>
    </row>
    <row r="24" spans="1:7">
      <c r="A24" s="16"/>
      <c r="B24" s="27"/>
      <c r="C24" s="27"/>
      <c r="D24" s="27"/>
      <c r="E24" s="27"/>
      <c r="F24" s="16"/>
      <c r="G24" s="930" t="s">
        <v>661</v>
      </c>
    </row>
    <row r="25" spans="1:7">
      <c r="E25" s="68"/>
      <c r="F25" s="55"/>
    </row>
    <row r="26" spans="1:7">
      <c r="D26" s="68"/>
      <c r="E26" s="68"/>
      <c r="F26" s="55"/>
    </row>
    <row r="27" spans="1:7">
      <c r="D27" s="68"/>
      <c r="E27" s="68"/>
      <c r="F27" s="55"/>
    </row>
    <row r="28" spans="1:7">
      <c r="A28" s="1393" t="s">
        <v>439</v>
      </c>
      <c r="B28" s="1393"/>
      <c r="C28" s="1393"/>
      <c r="D28" s="1393"/>
      <c r="E28" s="1393"/>
      <c r="F28" s="1393"/>
      <c r="G28" s="1393"/>
    </row>
    <row r="29" spans="1:7" ht="34.5" customHeight="1">
      <c r="A29" s="1666" t="str">
        <f>CONCATENATE("Estimated Production of Milk (Cow, Buffalo &amp; Goat) 
and Egg (Hen &amp; Duck) in the district of ",District!A1," and West Bengal")</f>
        <v>Estimated Production of Milk (Cow, Buffalo &amp; Goat) 
and Egg (Hen &amp; Duck) in the district of Jalpaiguri and West Bengal</v>
      </c>
      <c r="B29" s="1666"/>
      <c r="C29" s="1666"/>
      <c r="D29" s="1666"/>
      <c r="E29" s="1666"/>
      <c r="F29" s="1666"/>
      <c r="G29" s="1666"/>
    </row>
    <row r="30" spans="1:7" ht="18" customHeight="1">
      <c r="B30" s="28"/>
      <c r="C30" s="28"/>
      <c r="D30" s="28"/>
      <c r="E30" s="28"/>
    </row>
    <row r="31" spans="1:7" ht="18" customHeight="1">
      <c r="A31" s="1651" t="s">
        <v>98</v>
      </c>
      <c r="B31" s="1630" t="s">
        <v>660</v>
      </c>
      <c r="C31" s="1636"/>
      <c r="D31" s="1631"/>
      <c r="E31" s="1502" t="s">
        <v>138</v>
      </c>
      <c r="F31" s="1502"/>
      <c r="G31" s="1294"/>
    </row>
    <row r="32" spans="1:7" ht="18" customHeight="1">
      <c r="A32" s="1652"/>
      <c r="B32" s="140" t="s">
        <v>965</v>
      </c>
      <c r="C32" s="1444" t="s">
        <v>966</v>
      </c>
      <c r="D32" s="1444"/>
      <c r="E32" s="140" t="s">
        <v>965</v>
      </c>
      <c r="F32" s="1444" t="s">
        <v>966</v>
      </c>
      <c r="G32" s="1446"/>
    </row>
    <row r="33" spans="1:7" ht="18" customHeight="1">
      <c r="A33" s="92" t="s">
        <v>278</v>
      </c>
      <c r="B33" s="1024" t="s">
        <v>279</v>
      </c>
      <c r="C33" s="1424" t="s">
        <v>280</v>
      </c>
      <c r="D33" s="1424"/>
      <c r="E33" s="57" t="s">
        <v>281</v>
      </c>
      <c r="F33" s="1424" t="s">
        <v>282</v>
      </c>
      <c r="G33" s="1386"/>
    </row>
    <row r="34" spans="1:7" ht="21" customHeight="1">
      <c r="A34" s="232" t="s">
        <v>1110</v>
      </c>
      <c r="B34" s="1026">
        <v>135</v>
      </c>
      <c r="C34" s="1613">
        <v>4300</v>
      </c>
      <c r="D34" s="1614"/>
      <c r="E34" s="428">
        <v>103675</v>
      </c>
      <c r="F34" s="1613">
        <v>3697839</v>
      </c>
      <c r="G34" s="1614"/>
    </row>
    <row r="35" spans="1:7" ht="21" customHeight="1">
      <c r="A35" s="232" t="s">
        <v>1111</v>
      </c>
      <c r="B35" s="1025">
        <v>140</v>
      </c>
      <c r="C35" s="1324">
        <v>4472</v>
      </c>
      <c r="D35" s="1316"/>
      <c r="E35" s="428">
        <v>113332</v>
      </c>
      <c r="F35" s="1324">
        <v>4000869</v>
      </c>
      <c r="G35" s="1316"/>
    </row>
    <row r="36" spans="1:7" ht="21.75" customHeight="1">
      <c r="A36" s="232" t="s">
        <v>641</v>
      </c>
      <c r="B36" s="1025">
        <v>146</v>
      </c>
      <c r="C36" s="1324">
        <v>4660</v>
      </c>
      <c r="D36" s="1316"/>
      <c r="E36" s="428">
        <v>123097</v>
      </c>
      <c r="F36" s="1324">
        <v>4337272</v>
      </c>
      <c r="G36" s="1316"/>
    </row>
    <row r="37" spans="1:7" ht="21.75" customHeight="1">
      <c r="A37" s="232" t="s">
        <v>909</v>
      </c>
      <c r="B37" s="1025">
        <v>152</v>
      </c>
      <c r="C37" s="1314">
        <v>4860</v>
      </c>
      <c r="D37" s="1316"/>
      <c r="E37" s="428">
        <v>133581</v>
      </c>
      <c r="F37" s="1314">
        <v>4707268</v>
      </c>
      <c r="G37" s="1316"/>
    </row>
    <row r="38" spans="1:7" ht="21" customHeight="1">
      <c r="A38" s="427" t="s">
        <v>895</v>
      </c>
      <c r="B38" s="1166">
        <v>153</v>
      </c>
      <c r="C38" s="1597">
        <v>4906</v>
      </c>
      <c r="D38" s="1448"/>
      <c r="E38" s="430">
        <v>135486</v>
      </c>
      <c r="F38" s="1597">
        <v>4746013</v>
      </c>
      <c r="G38" s="1448"/>
    </row>
    <row r="39" spans="1:7">
      <c r="A39" s="62"/>
      <c r="B39" s="16"/>
      <c r="C39" s="16"/>
      <c r="D39" s="16"/>
      <c r="E39" s="16"/>
      <c r="G39" s="875" t="s">
        <v>1109</v>
      </c>
    </row>
    <row r="40" spans="1:7">
      <c r="B40" s="357"/>
      <c r="C40" s="357"/>
      <c r="D40" s="357"/>
      <c r="E40" s="566"/>
    </row>
    <row r="41" spans="1:7">
      <c r="A41" s="7"/>
      <c r="B41" s="565"/>
    </row>
    <row r="42" spans="1:7">
      <c r="A42" s="8"/>
      <c r="B42" s="1"/>
      <c r="C42" s="1"/>
      <c r="D42" s="1"/>
      <c r="E42" s="1"/>
      <c r="F42" s="1"/>
      <c r="G42" s="1"/>
    </row>
  </sheetData>
  <mergeCells count="48">
    <mergeCell ref="C33:D33"/>
    <mergeCell ref="F20:G20"/>
    <mergeCell ref="F21:G21"/>
    <mergeCell ref="F10:G10"/>
    <mergeCell ref="F8:G8"/>
    <mergeCell ref="A29:G29"/>
    <mergeCell ref="A14:G14"/>
    <mergeCell ref="A16:A17"/>
    <mergeCell ref="F33:G33"/>
    <mergeCell ref="B16:C16"/>
    <mergeCell ref="D16:E16"/>
    <mergeCell ref="C32:D32"/>
    <mergeCell ref="E31:G31"/>
    <mergeCell ref="F32:G32"/>
    <mergeCell ref="A15:G15"/>
    <mergeCell ref="A8:B8"/>
    <mergeCell ref="A1:G1"/>
    <mergeCell ref="A6:B6"/>
    <mergeCell ref="F7:G7"/>
    <mergeCell ref="A2:G2"/>
    <mergeCell ref="A7:B7"/>
    <mergeCell ref="F3:G3"/>
    <mergeCell ref="A4:B4"/>
    <mergeCell ref="A5:B5"/>
    <mergeCell ref="F4:G4"/>
    <mergeCell ref="F5:G5"/>
    <mergeCell ref="F6:G6"/>
    <mergeCell ref="A31:A32"/>
    <mergeCell ref="A9:B9"/>
    <mergeCell ref="F9:G9"/>
    <mergeCell ref="F22:G22"/>
    <mergeCell ref="F16:G17"/>
    <mergeCell ref="B31:D31"/>
    <mergeCell ref="F19:G19"/>
    <mergeCell ref="F18:G18"/>
    <mergeCell ref="A28:G28"/>
    <mergeCell ref="A10:B10"/>
    <mergeCell ref="F23:G23"/>
    <mergeCell ref="C38:D38"/>
    <mergeCell ref="F38:G38"/>
    <mergeCell ref="F34:G34"/>
    <mergeCell ref="F35:G35"/>
    <mergeCell ref="F36:G36"/>
    <mergeCell ref="C37:D37"/>
    <mergeCell ref="F37:G37"/>
    <mergeCell ref="C35:D35"/>
    <mergeCell ref="C36:D36"/>
    <mergeCell ref="C34:D34"/>
  </mergeCells>
  <phoneticPr fontId="0" type="noConversion"/>
  <printOptions horizontalCentered="1"/>
  <pageMargins left="0.1" right="0.1" top="0.82" bottom="0.1" header="0.5" footer="0.1"/>
  <pageSetup paperSize="9" orientation="portrait" blackAndWhite="1" r:id="rId1"/>
  <headerFooter alignWithMargins="0"/>
</worksheet>
</file>

<file path=xl/worksheets/sheet49.xml><?xml version="1.0" encoding="utf-8"?>
<worksheet xmlns="http://schemas.openxmlformats.org/spreadsheetml/2006/main" xmlns:r="http://schemas.openxmlformats.org/officeDocument/2006/relationships">
  <sheetPr codeName="Sheet53"/>
  <dimension ref="A1:J30"/>
  <sheetViews>
    <sheetView topLeftCell="A19" workbookViewId="0">
      <selection activeCell="G27" sqref="G27"/>
    </sheetView>
  </sheetViews>
  <sheetFormatPr defaultRowHeight="12.75"/>
  <cols>
    <col min="1" max="1" width="3.85546875" customWidth="1"/>
    <col min="2" max="2" width="17.85546875" customWidth="1"/>
    <col min="3" max="6" width="12.7109375" customWidth="1"/>
    <col min="7" max="7" width="14.7109375" customWidth="1"/>
    <col min="8" max="8" width="9.42578125" customWidth="1"/>
  </cols>
  <sheetData>
    <row r="1" spans="1:10" ht="18.75" customHeight="1">
      <c r="A1" s="1361" t="s">
        <v>441</v>
      </c>
      <c r="B1" s="1361"/>
      <c r="C1" s="1361"/>
      <c r="D1" s="1361"/>
      <c r="E1" s="1361"/>
      <c r="F1" s="1361"/>
      <c r="G1" s="1361"/>
      <c r="H1" s="156"/>
      <c r="I1" s="156"/>
    </row>
    <row r="2" spans="1:10" ht="17.25" customHeight="1">
      <c r="A2" s="1354" t="str">
        <f>CONCATENATE("Live-stock and Poultry in the district of ",District!A1)</f>
        <v>Live-stock and Poultry in the district of Jalpaiguri</v>
      </c>
      <c r="B2" s="1354"/>
      <c r="C2" s="1354"/>
      <c r="D2" s="1354"/>
      <c r="E2" s="1354"/>
      <c r="F2" s="1354"/>
      <c r="G2" s="1354"/>
      <c r="H2" s="151"/>
      <c r="I2" s="151"/>
      <c r="J2" s="23"/>
    </row>
    <row r="3" spans="1:10" ht="12" customHeight="1">
      <c r="A3" s="359"/>
      <c r="B3" s="359"/>
      <c r="C3" s="359"/>
      <c r="D3" s="359"/>
      <c r="E3" s="359"/>
      <c r="F3" s="359"/>
      <c r="G3" s="1043" t="s">
        <v>312</v>
      </c>
    </row>
    <row r="4" spans="1:10" s="359" customFormat="1" ht="24" customHeight="1">
      <c r="A4" s="1630" t="s">
        <v>507</v>
      </c>
      <c r="B4" s="1631"/>
      <c r="C4" s="406">
        <v>1994</v>
      </c>
      <c r="D4" s="406">
        <v>1997</v>
      </c>
      <c r="E4" s="406">
        <v>2003</v>
      </c>
      <c r="F4" s="637">
        <v>2007</v>
      </c>
      <c r="G4" s="637">
        <v>2012</v>
      </c>
    </row>
    <row r="5" spans="1:10" ht="18.95" customHeight="1">
      <c r="A5" s="1385" t="s">
        <v>278</v>
      </c>
      <c r="B5" s="1441"/>
      <c r="C5" s="57" t="s">
        <v>279</v>
      </c>
      <c r="D5" s="57" t="s">
        <v>280</v>
      </c>
      <c r="E5" s="57" t="s">
        <v>281</v>
      </c>
      <c r="F5" s="57" t="s">
        <v>282</v>
      </c>
      <c r="G5" s="58" t="s">
        <v>283</v>
      </c>
    </row>
    <row r="6" spans="1:10" ht="21" customHeight="1">
      <c r="A6" s="579">
        <v>1</v>
      </c>
      <c r="B6" s="542" t="s">
        <v>1073</v>
      </c>
      <c r="C6" s="52"/>
      <c r="D6" s="52"/>
      <c r="E6" s="52"/>
      <c r="F6" s="52"/>
      <c r="G6" s="48"/>
    </row>
    <row r="7" spans="1:10" ht="21" customHeight="1">
      <c r="A7" s="517"/>
      <c r="B7" s="388" t="s">
        <v>1074</v>
      </c>
      <c r="C7" s="291">
        <v>268000</v>
      </c>
      <c r="D7" s="291">
        <v>275847</v>
      </c>
      <c r="E7" s="149">
        <v>325003</v>
      </c>
      <c r="F7" s="149">
        <v>379574</v>
      </c>
      <c r="G7" s="149">
        <v>344267</v>
      </c>
      <c r="I7" s="7"/>
    </row>
    <row r="8" spans="1:10" ht="21" customHeight="1">
      <c r="A8" s="517"/>
      <c r="B8" s="388" t="s">
        <v>139</v>
      </c>
      <c r="C8" s="291">
        <v>228098</v>
      </c>
      <c r="D8" s="291">
        <v>234874</v>
      </c>
      <c r="E8" s="149">
        <v>252375</v>
      </c>
      <c r="F8" s="149">
        <v>263413</v>
      </c>
      <c r="G8" s="149">
        <v>215926</v>
      </c>
      <c r="I8" s="7"/>
    </row>
    <row r="9" spans="1:10" ht="21" customHeight="1">
      <c r="A9" s="517"/>
      <c r="B9" s="388" t="s">
        <v>1075</v>
      </c>
      <c r="C9" s="291">
        <v>285881</v>
      </c>
      <c r="D9" s="291">
        <v>294202</v>
      </c>
      <c r="E9" s="149">
        <v>369382</v>
      </c>
      <c r="F9" s="149">
        <v>372946</v>
      </c>
      <c r="G9" s="149">
        <v>390567</v>
      </c>
      <c r="I9" s="7"/>
    </row>
    <row r="10" spans="1:10" ht="21" customHeight="1">
      <c r="A10" s="517"/>
      <c r="B10" s="542" t="s">
        <v>140</v>
      </c>
      <c r="C10" s="229">
        <f>SUM(C6:C9)</f>
        <v>781979</v>
      </c>
      <c r="D10" s="229">
        <f>SUM(D6:D9)</f>
        <v>804923</v>
      </c>
      <c r="E10" s="211">
        <f>SUM(E6:E9)</f>
        <v>946760</v>
      </c>
      <c r="F10" s="211">
        <f>SUM(F6:F9)</f>
        <v>1015933</v>
      </c>
      <c r="G10" s="211">
        <f>SUM(G6:G9)</f>
        <v>950760</v>
      </c>
    </row>
    <row r="11" spans="1:10" ht="21" customHeight="1">
      <c r="A11" s="612">
        <v>2</v>
      </c>
      <c r="B11" s="542" t="s">
        <v>1076</v>
      </c>
      <c r="C11" s="611"/>
      <c r="D11" s="611"/>
      <c r="E11" s="458"/>
      <c r="F11" s="458"/>
      <c r="G11" s="458"/>
    </row>
    <row r="12" spans="1:10" ht="21" customHeight="1">
      <c r="A12" s="517"/>
      <c r="B12" s="388" t="s">
        <v>1074</v>
      </c>
      <c r="C12" s="291">
        <v>4325</v>
      </c>
      <c r="D12" s="291">
        <v>4380</v>
      </c>
      <c r="E12" s="149">
        <v>3766</v>
      </c>
      <c r="F12" s="149">
        <v>4028</v>
      </c>
      <c r="G12" s="149">
        <v>3435</v>
      </c>
    </row>
    <row r="13" spans="1:10" ht="21" customHeight="1">
      <c r="A13" s="517"/>
      <c r="B13" s="388" t="s">
        <v>139</v>
      </c>
      <c r="C13" s="291">
        <v>6476</v>
      </c>
      <c r="D13" s="291">
        <v>6558</v>
      </c>
      <c r="E13" s="149">
        <v>2731</v>
      </c>
      <c r="F13" s="149">
        <v>7418</v>
      </c>
      <c r="G13" s="149">
        <v>2123</v>
      </c>
    </row>
    <row r="14" spans="1:10" ht="21" customHeight="1">
      <c r="A14" s="517"/>
      <c r="B14" s="388" t="s">
        <v>1075</v>
      </c>
      <c r="C14" s="291">
        <v>3956</v>
      </c>
      <c r="D14" s="291">
        <v>4006</v>
      </c>
      <c r="E14" s="149">
        <v>3349</v>
      </c>
      <c r="F14" s="450" t="s">
        <v>117</v>
      </c>
      <c r="G14" s="450">
        <v>3269</v>
      </c>
    </row>
    <row r="15" spans="1:10" ht="21" customHeight="1">
      <c r="A15" s="52"/>
      <c r="B15" s="542" t="s">
        <v>141</v>
      </c>
      <c r="C15" s="229">
        <f>SUM(C12:C14)</f>
        <v>14757</v>
      </c>
      <c r="D15" s="229">
        <f>SUM(D12:D14)</f>
        <v>14944</v>
      </c>
      <c r="E15" s="211">
        <f>SUM(E12:E14)</f>
        <v>9846</v>
      </c>
      <c r="F15" s="211">
        <f>SUM(F12:F14)</f>
        <v>11446</v>
      </c>
      <c r="G15" s="211">
        <f>SUM(G12:G14)</f>
        <v>8827</v>
      </c>
    </row>
    <row r="16" spans="1:10" ht="21" customHeight="1">
      <c r="A16" s="612">
        <v>3</v>
      </c>
      <c r="B16" s="388" t="s">
        <v>142</v>
      </c>
      <c r="C16" s="291">
        <v>9387</v>
      </c>
      <c r="D16" s="291">
        <v>9391</v>
      </c>
      <c r="E16" s="149">
        <v>37759</v>
      </c>
      <c r="F16" s="149">
        <v>24474</v>
      </c>
      <c r="G16" s="149">
        <v>25859</v>
      </c>
    </row>
    <row r="17" spans="1:7" ht="21" customHeight="1">
      <c r="A17" s="612">
        <v>4</v>
      </c>
      <c r="B17" s="388" t="s">
        <v>1077</v>
      </c>
      <c r="C17" s="291">
        <v>506737</v>
      </c>
      <c r="D17" s="291">
        <v>561710</v>
      </c>
      <c r="E17" s="149">
        <v>514330</v>
      </c>
      <c r="F17" s="149">
        <v>598067</v>
      </c>
      <c r="G17" s="149">
        <v>561475</v>
      </c>
    </row>
    <row r="18" spans="1:7" ht="21" customHeight="1">
      <c r="A18" s="612">
        <v>5</v>
      </c>
      <c r="B18" s="388" t="s">
        <v>860</v>
      </c>
      <c r="C18" s="291">
        <v>11</v>
      </c>
      <c r="D18" s="291">
        <v>11</v>
      </c>
      <c r="E18" s="149">
        <v>64</v>
      </c>
      <c r="F18" s="149">
        <v>36</v>
      </c>
      <c r="G18" s="149">
        <v>9</v>
      </c>
    </row>
    <row r="19" spans="1:7" ht="21" customHeight="1">
      <c r="A19" s="229">
        <v>6</v>
      </c>
      <c r="B19" s="388" t="s">
        <v>1078</v>
      </c>
      <c r="C19" s="291">
        <v>65375</v>
      </c>
      <c r="D19" s="291">
        <v>70500</v>
      </c>
      <c r="E19" s="149">
        <v>96540</v>
      </c>
      <c r="F19" s="149">
        <v>123956</v>
      </c>
      <c r="G19" s="149">
        <v>91992</v>
      </c>
    </row>
    <row r="20" spans="1:7" ht="21" customHeight="1">
      <c r="A20" s="229">
        <v>7</v>
      </c>
      <c r="B20" s="388" t="s">
        <v>143</v>
      </c>
      <c r="C20" s="291" t="s">
        <v>570</v>
      </c>
      <c r="D20" s="291" t="s">
        <v>1275</v>
      </c>
      <c r="E20" s="149">
        <v>121137</v>
      </c>
      <c r="F20" s="149">
        <v>118494</v>
      </c>
      <c r="G20" s="149">
        <v>26</v>
      </c>
    </row>
    <row r="21" spans="1:7" ht="21" customHeight="1">
      <c r="A21" s="229"/>
      <c r="B21" s="542" t="s">
        <v>145</v>
      </c>
      <c r="C21" s="228">
        <f>SUM(C10,C15,C16,C17,C18,C19,C20)</f>
        <v>1378246</v>
      </c>
      <c r="D21" s="228">
        <f>SUM(D10,D15,D16,D17,D18,D19,D20)</f>
        <v>1461479</v>
      </c>
      <c r="E21" s="241">
        <f>SUM(E10,E15,E16,E17,E18,E19,E20)</f>
        <v>1726436</v>
      </c>
      <c r="F21" s="241">
        <f>SUM(F10,F15,F16,F17,F18,F19,F20)</f>
        <v>1892406</v>
      </c>
      <c r="G21" s="241">
        <f>SUM(G10,G15,G16,G17,G18,G19,G20)</f>
        <v>1638948</v>
      </c>
    </row>
    <row r="22" spans="1:7" ht="21" customHeight="1">
      <c r="A22" s="229">
        <v>8</v>
      </c>
      <c r="B22" s="542" t="s">
        <v>390</v>
      </c>
      <c r="C22" s="611"/>
      <c r="D22" s="611"/>
      <c r="E22" s="458"/>
      <c r="F22" s="458"/>
      <c r="G22" s="458"/>
    </row>
    <row r="23" spans="1:7" ht="21" customHeight="1">
      <c r="A23" s="517"/>
      <c r="B23" s="388" t="s">
        <v>1079</v>
      </c>
      <c r="C23" s="291">
        <v>1280550</v>
      </c>
      <c r="D23" s="291">
        <v>1408178</v>
      </c>
      <c r="E23" s="149">
        <v>1731017</v>
      </c>
      <c r="F23" s="149">
        <v>1935842</v>
      </c>
      <c r="G23" s="149">
        <v>2100384</v>
      </c>
    </row>
    <row r="24" spans="1:7" ht="21" customHeight="1">
      <c r="A24" s="517"/>
      <c r="B24" s="388" t="s">
        <v>1080</v>
      </c>
      <c r="C24" s="291">
        <v>214376</v>
      </c>
      <c r="D24" s="291">
        <v>242277</v>
      </c>
      <c r="E24" s="149">
        <v>244412</v>
      </c>
      <c r="F24" s="149">
        <v>202510</v>
      </c>
      <c r="G24" s="149">
        <v>135183</v>
      </c>
    </row>
    <row r="25" spans="1:7" ht="21" customHeight="1">
      <c r="A25" s="517"/>
      <c r="B25" s="388" t="s">
        <v>545</v>
      </c>
      <c r="C25" s="291">
        <v>24712</v>
      </c>
      <c r="D25" s="291">
        <v>12727</v>
      </c>
      <c r="E25" s="149">
        <v>21268</v>
      </c>
      <c r="F25" s="149">
        <v>4900</v>
      </c>
      <c r="G25" s="149">
        <v>4114</v>
      </c>
    </row>
    <row r="26" spans="1:7" ht="21" customHeight="1">
      <c r="A26" s="613"/>
      <c r="B26" s="610" t="s">
        <v>144</v>
      </c>
      <c r="C26" s="248">
        <f>SUM(C23:C25)</f>
        <v>1519638</v>
      </c>
      <c r="D26" s="248">
        <f>SUM(D23:D25)</f>
        <v>1663182</v>
      </c>
      <c r="E26" s="251">
        <f>SUM(E23:E25)</f>
        <v>1996697</v>
      </c>
      <c r="F26" s="251">
        <f>SUM(F23:F25)</f>
        <v>2143252</v>
      </c>
      <c r="G26" s="251">
        <f>SUM(G23:G25)</f>
        <v>2239681</v>
      </c>
    </row>
    <row r="27" spans="1:7" ht="15.95" customHeight="1">
      <c r="A27" s="1667" t="s">
        <v>1571</v>
      </c>
      <c r="B27" s="1667"/>
      <c r="C27" s="1667"/>
      <c r="D27" s="1667"/>
      <c r="E27" s="359"/>
      <c r="F27" s="359"/>
      <c r="G27" s="886" t="s">
        <v>868</v>
      </c>
    </row>
    <row r="28" spans="1:7" ht="15.95" customHeight="1">
      <c r="A28" s="1668"/>
      <c r="B28" s="1668"/>
      <c r="C28" s="1668"/>
      <c r="D28" s="1668"/>
    </row>
    <row r="29" spans="1:7" ht="20.100000000000001" customHeight="1">
      <c r="A29" s="1668"/>
      <c r="B29" s="1668"/>
      <c r="C29" s="1668"/>
      <c r="D29" s="1668"/>
    </row>
    <row r="30" spans="1:7" ht="20.100000000000001" customHeight="1"/>
  </sheetData>
  <mergeCells count="5">
    <mergeCell ref="A1:G1"/>
    <mergeCell ref="A4:B4"/>
    <mergeCell ref="A5:B5"/>
    <mergeCell ref="A2:G2"/>
    <mergeCell ref="A27:D29"/>
  </mergeCells>
  <phoneticPr fontId="0" type="noConversion"/>
  <conditionalFormatting sqref="A1:XFD1048576">
    <cfRule type="cellIs" dxfId="7" priority="1" stopIfTrue="1" operator="equal">
      <formula>".."</formula>
    </cfRule>
  </conditionalFormatting>
  <printOptions horizontalCentered="1"/>
  <pageMargins left="0.16" right="0.16" top="1.21" bottom="0.1" header="0.5" footer="0.1"/>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sheetPr codeName="Sheet2"/>
  <dimension ref="A1:F112"/>
  <sheetViews>
    <sheetView workbookViewId="0">
      <selection activeCell="I85" sqref="I85"/>
    </sheetView>
  </sheetViews>
  <sheetFormatPr defaultRowHeight="12.75"/>
  <cols>
    <col min="1" max="1" width="38.42578125" customWidth="1"/>
    <col min="2" max="2" width="20.28515625" style="1" customWidth="1"/>
    <col min="3" max="3" width="16.42578125" style="1" customWidth="1"/>
    <col min="4" max="4" width="17.28515625" style="1" customWidth="1"/>
    <col min="5" max="5" width="10.5703125" customWidth="1"/>
  </cols>
  <sheetData>
    <row r="1" spans="1:4" ht="18" customHeight="1">
      <c r="A1" s="1284" t="str">
        <f>CONCATENATE(District!A1," at a glance")</f>
        <v>Jalpaiguri at a glance</v>
      </c>
      <c r="B1" s="1284"/>
      <c r="C1" s="1284"/>
      <c r="D1" s="1284"/>
    </row>
    <row r="2" spans="1:4" ht="15" customHeight="1">
      <c r="A2" s="393" t="s">
        <v>97</v>
      </c>
      <c r="B2" s="393" t="s">
        <v>98</v>
      </c>
      <c r="C2" s="393" t="s">
        <v>99</v>
      </c>
      <c r="D2" s="394" t="s">
        <v>100</v>
      </c>
    </row>
    <row r="3" spans="1:4" ht="13.5" customHeight="1">
      <c r="A3" s="395" t="s">
        <v>278</v>
      </c>
      <c r="B3" s="395" t="s">
        <v>279</v>
      </c>
      <c r="C3" s="395" t="s">
        <v>280</v>
      </c>
      <c r="D3" s="396" t="s">
        <v>281</v>
      </c>
    </row>
    <row r="4" spans="1:4" ht="14.25" customHeight="1">
      <c r="A4" s="397" t="s">
        <v>620</v>
      </c>
      <c r="B4" s="52"/>
      <c r="C4" s="52"/>
      <c r="D4" s="48"/>
    </row>
    <row r="5" spans="1:4" ht="14.25" customHeight="1">
      <c r="A5" s="351" t="s">
        <v>1444</v>
      </c>
      <c r="B5" s="52"/>
      <c r="C5" s="52"/>
      <c r="D5" s="398" t="str">
        <f>'1.1,1.2'!F7</f>
        <v>Jalpaiguri</v>
      </c>
    </row>
    <row r="6" spans="1:4" ht="14.25" customHeight="1">
      <c r="A6" s="351" t="s">
        <v>1276</v>
      </c>
      <c r="B6" s="307">
        <f>District!C1</f>
        <v>2014</v>
      </c>
      <c r="C6" s="47" t="s">
        <v>101</v>
      </c>
      <c r="D6" s="48" t="str">
        <f>RIGHT('2.1'!A30,1)</f>
        <v>3</v>
      </c>
    </row>
    <row r="7" spans="1:4" ht="14.25" customHeight="1">
      <c r="A7" s="351" t="s">
        <v>1043</v>
      </c>
      <c r="B7" s="307" t="s">
        <v>111</v>
      </c>
      <c r="C7" s="47" t="s">
        <v>111</v>
      </c>
      <c r="D7" s="48">
        <f>'2.1'!B30</f>
        <v>17</v>
      </c>
    </row>
    <row r="8" spans="1:4" ht="14.25" customHeight="1">
      <c r="A8" s="351" t="s">
        <v>103</v>
      </c>
      <c r="B8" s="307">
        <f>District!$D$3</f>
        <v>2011</v>
      </c>
      <c r="C8" s="47" t="s">
        <v>111</v>
      </c>
      <c r="D8" s="48">
        <f>'2.1'!H30</f>
        <v>718</v>
      </c>
    </row>
    <row r="9" spans="1:4" ht="14.25" customHeight="1">
      <c r="A9" s="351" t="s">
        <v>787</v>
      </c>
      <c r="B9" s="307" t="str">
        <f>District!$C$3</f>
        <v>2001</v>
      </c>
      <c r="C9" s="47" t="s">
        <v>111</v>
      </c>
      <c r="D9" s="48">
        <f>'2.1'!G30</f>
        <v>756</v>
      </c>
    </row>
    <row r="10" spans="1:4" ht="14.25" customHeight="1">
      <c r="A10" s="351" t="s">
        <v>1151</v>
      </c>
      <c r="B10" s="307">
        <f>District!$C$1</f>
        <v>2014</v>
      </c>
      <c r="C10" s="47" t="s">
        <v>111</v>
      </c>
      <c r="D10" s="48" t="s">
        <v>643</v>
      </c>
    </row>
    <row r="11" spans="1:4" ht="14.25" customHeight="1">
      <c r="A11" s="351" t="s">
        <v>1152</v>
      </c>
      <c r="B11" s="307" t="s">
        <v>111</v>
      </c>
      <c r="C11" s="47" t="s">
        <v>111</v>
      </c>
      <c r="D11" s="48">
        <f>'2.1'!L30</f>
        <v>4</v>
      </c>
    </row>
    <row r="12" spans="1:4" ht="14.25" customHeight="1">
      <c r="A12" s="351" t="s">
        <v>1277</v>
      </c>
      <c r="B12" s="307" t="s">
        <v>111</v>
      </c>
      <c r="C12" s="47" t="s">
        <v>111</v>
      </c>
      <c r="D12" s="48">
        <f>'16.1'!A17</f>
        <v>13</v>
      </c>
    </row>
    <row r="13" spans="1:4" ht="14.25" customHeight="1">
      <c r="A13" s="351" t="s">
        <v>752</v>
      </c>
      <c r="B13" s="307" t="s">
        <v>111</v>
      </c>
      <c r="C13" s="47" t="s">
        <v>111</v>
      </c>
      <c r="D13" s="48">
        <f>'2.1'!D30</f>
        <v>13</v>
      </c>
    </row>
    <row r="14" spans="1:4" ht="14.25" customHeight="1">
      <c r="A14" s="351" t="s">
        <v>106</v>
      </c>
      <c r="B14" s="307" t="s">
        <v>111</v>
      </c>
      <c r="C14" s="47" t="s">
        <v>111</v>
      </c>
      <c r="D14" s="48">
        <f>'2.1'!E30</f>
        <v>146</v>
      </c>
    </row>
    <row r="15" spans="1:4" ht="14.25" customHeight="1">
      <c r="A15" s="351" t="s">
        <v>107</v>
      </c>
      <c r="B15" s="307" t="s">
        <v>111</v>
      </c>
      <c r="C15" s="47" t="s">
        <v>111</v>
      </c>
      <c r="D15" s="48">
        <f>'2.1'!F30</f>
        <v>2343</v>
      </c>
    </row>
    <row r="16" spans="1:4" ht="14.25" customHeight="1">
      <c r="A16" s="397" t="s">
        <v>108</v>
      </c>
      <c r="B16" s="307"/>
      <c r="C16" s="47"/>
      <c r="D16" s="48"/>
    </row>
    <row r="17" spans="1:4" ht="14.25" customHeight="1">
      <c r="A17" s="351" t="s">
        <v>109</v>
      </c>
      <c r="B17" s="307">
        <f>District!$D$3</f>
        <v>2011</v>
      </c>
      <c r="C17" s="47" t="s">
        <v>1213</v>
      </c>
      <c r="D17" s="168">
        <f>'2.2,2.3'!$C$26</f>
        <v>6227</v>
      </c>
    </row>
    <row r="18" spans="1:4" ht="14.25" customHeight="1">
      <c r="A18" s="351" t="s">
        <v>110</v>
      </c>
      <c r="B18" s="307" t="s">
        <v>111</v>
      </c>
      <c r="C18" s="47" t="s">
        <v>101</v>
      </c>
      <c r="D18" s="188">
        <f>'2.2,2.3'!$E$26</f>
        <v>3872846</v>
      </c>
    </row>
    <row r="19" spans="1:4" ht="14.25" customHeight="1">
      <c r="A19" s="351" t="s">
        <v>1280</v>
      </c>
      <c r="B19" s="307" t="s">
        <v>111</v>
      </c>
      <c r="C19" s="47" t="s">
        <v>1214</v>
      </c>
      <c r="D19" s="188">
        <f>'2.2,2.3'!$G$26</f>
        <v>622</v>
      </c>
    </row>
    <row r="20" spans="1:4" ht="14.25" customHeight="1">
      <c r="A20" s="351" t="s">
        <v>737</v>
      </c>
      <c r="B20" s="307"/>
      <c r="C20" s="47"/>
      <c r="D20" s="188"/>
    </row>
    <row r="21" spans="1:4" ht="14.25" customHeight="1">
      <c r="A21" s="1039" t="s">
        <v>786</v>
      </c>
      <c r="B21" s="307">
        <f>District!$D$3</f>
        <v>2011</v>
      </c>
      <c r="C21" s="47" t="s">
        <v>1368</v>
      </c>
      <c r="D21" s="168">
        <f>ROUND('2.2,2.3'!D46/'2.2,2.3'!B46*100,2)</f>
        <v>51.2</v>
      </c>
    </row>
    <row r="22" spans="1:4" ht="14.25" customHeight="1">
      <c r="A22" s="351" t="s">
        <v>112</v>
      </c>
      <c r="B22" s="307" t="s">
        <v>111</v>
      </c>
      <c r="C22" s="47" t="s">
        <v>111</v>
      </c>
      <c r="D22" s="168">
        <f>ROUND('2.2,2.3'!E46/'2.2,2.3'!B46*100,2)</f>
        <v>48.8</v>
      </c>
    </row>
    <row r="23" spans="1:4" ht="14.25" customHeight="1">
      <c r="A23" s="351" t="s">
        <v>113</v>
      </c>
      <c r="B23" s="307" t="s">
        <v>111</v>
      </c>
      <c r="C23" s="47" t="s">
        <v>111</v>
      </c>
      <c r="D23" s="168">
        <f>ROUND('2.2,2.3'!H46/'2.2,2.3'!B46*100,2)</f>
        <v>72.62</v>
      </c>
    </row>
    <row r="24" spans="1:4" ht="14.25" customHeight="1">
      <c r="A24" s="351" t="s">
        <v>114</v>
      </c>
      <c r="B24" s="307" t="s">
        <v>111</v>
      </c>
      <c r="C24" s="47" t="s">
        <v>111</v>
      </c>
      <c r="D24" s="168">
        <f>ROUND('2.2,2.3'!G46/'2.2,2.3'!B46*100,2)</f>
        <v>27.38</v>
      </c>
    </row>
    <row r="25" spans="1:4" ht="14.25" customHeight="1">
      <c r="A25" s="397" t="s">
        <v>41</v>
      </c>
      <c r="B25" s="307"/>
      <c r="C25" s="47"/>
      <c r="D25" s="48"/>
    </row>
    <row r="26" spans="1:4" ht="14.25" customHeight="1">
      <c r="A26" s="351" t="s">
        <v>742</v>
      </c>
      <c r="B26" s="307">
        <f>District!$C$1</f>
        <v>2014</v>
      </c>
      <c r="C26" s="47" t="s">
        <v>644</v>
      </c>
      <c r="D26" s="48">
        <f>'1.1,1.2'!H28</f>
        <v>3048</v>
      </c>
    </row>
    <row r="27" spans="1:4" ht="14.25" customHeight="1">
      <c r="A27" s="351" t="s">
        <v>115</v>
      </c>
      <c r="B27" s="307" t="s">
        <v>111</v>
      </c>
      <c r="C27" s="47" t="s">
        <v>116</v>
      </c>
      <c r="D27" s="48">
        <f>'1.3,1.4'!J19</f>
        <v>38</v>
      </c>
    </row>
    <row r="28" spans="1:4" ht="14.25" customHeight="1">
      <c r="A28" s="351" t="s">
        <v>743</v>
      </c>
      <c r="B28" s="307" t="s">
        <v>111</v>
      </c>
      <c r="C28" s="47" t="s">
        <v>111</v>
      </c>
      <c r="D28" s="48">
        <f>'1.3,1.4'!K19</f>
        <v>6</v>
      </c>
    </row>
    <row r="29" spans="1:4" ht="14.25" customHeight="1">
      <c r="A29" s="397" t="s">
        <v>118</v>
      </c>
      <c r="B29" s="307"/>
      <c r="C29" s="47"/>
      <c r="D29" s="48"/>
    </row>
    <row r="30" spans="1:4" ht="14.25" customHeight="1">
      <c r="A30" s="351" t="s">
        <v>621</v>
      </c>
      <c r="B30" s="307">
        <f>District!$D$3</f>
        <v>2011</v>
      </c>
      <c r="C30" s="47" t="s">
        <v>1368</v>
      </c>
      <c r="D30" s="168">
        <f>'2.7'!C29</f>
        <v>39.06</v>
      </c>
    </row>
    <row r="31" spans="1:4" ht="14.25" customHeight="1">
      <c r="A31" s="351" t="s">
        <v>119</v>
      </c>
      <c r="B31" s="307" t="s">
        <v>111</v>
      </c>
      <c r="C31" s="47" t="s">
        <v>111</v>
      </c>
      <c r="D31" s="168">
        <f>'2.7'!Q29</f>
        <v>60.94</v>
      </c>
    </row>
    <row r="32" spans="1:4" ht="14.25" customHeight="1">
      <c r="A32" s="397" t="s">
        <v>48</v>
      </c>
      <c r="B32" s="307"/>
      <c r="C32" s="47"/>
      <c r="D32" s="48"/>
    </row>
    <row r="33" spans="1:4" ht="14.25" customHeight="1">
      <c r="A33" s="351" t="s">
        <v>130</v>
      </c>
      <c r="B33" s="307" t="str">
        <f>District!$C$2</f>
        <v>2013-14</v>
      </c>
      <c r="C33" s="399" t="s">
        <v>753</v>
      </c>
      <c r="D33" s="168">
        <f>'5.1,5.1a'!M10</f>
        <v>336.02</v>
      </c>
    </row>
    <row r="34" spans="1:4" ht="14.25" customHeight="1">
      <c r="A34" s="400" t="s">
        <v>738</v>
      </c>
      <c r="B34" s="307" t="s">
        <v>111</v>
      </c>
      <c r="C34" s="47" t="s">
        <v>1368</v>
      </c>
      <c r="D34" s="48">
        <f>ROUND('5.5,5.5a'!L11/'5.1,5.1a'!M10*100,2)</f>
        <v>43.34</v>
      </c>
    </row>
    <row r="35" spans="1:4" ht="14.25" customHeight="1">
      <c r="A35" s="351" t="s">
        <v>1278</v>
      </c>
      <c r="B35" s="307" t="s">
        <v>111</v>
      </c>
      <c r="C35" s="47" t="s">
        <v>1212</v>
      </c>
      <c r="D35" s="48">
        <f>'5.3a'!G7</f>
        <v>2278</v>
      </c>
    </row>
    <row r="36" spans="1:4" ht="14.25" customHeight="1">
      <c r="A36" s="397" t="s">
        <v>622</v>
      </c>
      <c r="B36" s="307"/>
      <c r="C36" s="47"/>
      <c r="D36" s="48"/>
    </row>
    <row r="37" spans="1:4" ht="14.25" customHeight="1">
      <c r="A37" s="351" t="s">
        <v>1367</v>
      </c>
      <c r="B37" s="307">
        <f>District!$C$1</f>
        <v>2014</v>
      </c>
      <c r="C37" s="47" t="s">
        <v>101</v>
      </c>
      <c r="D37" s="48">
        <f>'3.1'!J12</f>
        <v>120</v>
      </c>
    </row>
    <row r="38" spans="1:4" ht="14.25" customHeight="1">
      <c r="A38" s="400" t="s">
        <v>1279</v>
      </c>
      <c r="B38" s="307" t="str">
        <f>District!$C$2</f>
        <v>2013-14</v>
      </c>
      <c r="C38" s="47" t="s">
        <v>111</v>
      </c>
      <c r="D38" s="48">
        <f>'3.2'!B11</f>
        <v>537</v>
      </c>
    </row>
    <row r="39" spans="1:4" ht="14.25" customHeight="1">
      <c r="A39" s="351" t="s">
        <v>1300</v>
      </c>
      <c r="B39" s="307" t="s">
        <v>111</v>
      </c>
      <c r="C39" s="47" t="s">
        <v>111</v>
      </c>
      <c r="D39" s="48">
        <f>'3.2'!E11</f>
        <v>17</v>
      </c>
    </row>
    <row r="40" spans="1:4" ht="14.25" customHeight="1">
      <c r="A40" s="351" t="s">
        <v>623</v>
      </c>
      <c r="B40" s="307">
        <f>District!$C$1</f>
        <v>2014</v>
      </c>
      <c r="C40" s="47" t="s">
        <v>111</v>
      </c>
      <c r="D40" s="48">
        <f>'3.1'!K12</f>
        <v>3596</v>
      </c>
    </row>
    <row r="41" spans="1:4" ht="14.25" customHeight="1">
      <c r="A41" s="351" t="s">
        <v>912</v>
      </c>
      <c r="B41" s="307" t="s">
        <v>111</v>
      </c>
      <c r="C41" s="47" t="s">
        <v>111</v>
      </c>
      <c r="D41" s="48">
        <f>ROUND(D40/D18*100000,0)</f>
        <v>93</v>
      </c>
    </row>
    <row r="42" spans="1:4" ht="14.25" customHeight="1">
      <c r="A42" s="397" t="s">
        <v>1196</v>
      </c>
      <c r="B42" s="307"/>
      <c r="C42" s="47"/>
      <c r="D42" s="48"/>
    </row>
    <row r="43" spans="1:4" ht="14.25" customHeight="1">
      <c r="A43" s="351" t="s">
        <v>807</v>
      </c>
      <c r="B43" s="307" t="str">
        <f>District!$C$2</f>
        <v>2013-14</v>
      </c>
      <c r="C43" s="47" t="s">
        <v>111</v>
      </c>
      <c r="D43" s="48">
        <f>'4.1a'!I8</f>
        <v>2035</v>
      </c>
    </row>
    <row r="44" spans="1:4" ht="14.25" customHeight="1">
      <c r="A44" s="351" t="s">
        <v>808</v>
      </c>
      <c r="B44" s="307" t="s">
        <v>111</v>
      </c>
      <c r="C44" s="47" t="s">
        <v>111</v>
      </c>
      <c r="D44" s="48">
        <f>'4.1a'!I13</f>
        <v>122</v>
      </c>
    </row>
    <row r="45" spans="1:4" ht="14.25" customHeight="1">
      <c r="A45" s="351" t="s">
        <v>809</v>
      </c>
      <c r="B45" s="307" t="s">
        <v>111</v>
      </c>
      <c r="C45" s="47" t="s">
        <v>111</v>
      </c>
      <c r="D45" s="48">
        <f>'4.1a'!I18</f>
        <v>98</v>
      </c>
    </row>
    <row r="46" spans="1:4" ht="14.25" customHeight="1">
      <c r="A46" s="351" t="s">
        <v>1197</v>
      </c>
      <c r="B46" s="307" t="s">
        <v>111</v>
      </c>
      <c r="C46" s="47" t="s">
        <v>111</v>
      </c>
      <c r="D46" s="48">
        <f>'4.1a'!I23</f>
        <v>240</v>
      </c>
    </row>
    <row r="47" spans="1:4" ht="14.25" customHeight="1">
      <c r="A47" s="351" t="s">
        <v>1198</v>
      </c>
      <c r="B47" s="307" t="s">
        <v>111</v>
      </c>
      <c r="C47" s="47" t="s">
        <v>111</v>
      </c>
      <c r="D47" s="48">
        <f>'4.1a'!I29</f>
        <v>16</v>
      </c>
    </row>
    <row r="48" spans="1:4" ht="14.25" customHeight="1">
      <c r="A48" s="351" t="s">
        <v>1199</v>
      </c>
      <c r="B48" s="307" t="s">
        <v>111</v>
      </c>
      <c r="C48" s="47" t="s">
        <v>111</v>
      </c>
      <c r="D48" s="48" t="str">
        <f>IF(SUM('4.1a'!I30,'4.1b'!I34)=0,"-",SUM('4.1a'!I30,'4.1b'!I34))</f>
        <v>-</v>
      </c>
    </row>
    <row r="49" spans="1:4" ht="14.25" customHeight="1">
      <c r="A49" s="397" t="s">
        <v>1200</v>
      </c>
      <c r="B49" s="307"/>
      <c r="C49" s="47"/>
      <c r="D49" s="48"/>
    </row>
    <row r="50" spans="1:4" ht="14.25" customHeight="1">
      <c r="A50" s="351" t="s">
        <v>332</v>
      </c>
      <c r="B50" s="307">
        <f>District!$D$3</f>
        <v>2011</v>
      </c>
      <c r="C50" s="47" t="s">
        <v>1368</v>
      </c>
      <c r="D50" s="168" t="str">
        <f>'4.5'!H$28</f>
        <v>79.95</v>
      </c>
    </row>
    <row r="51" spans="1:4" ht="14.25" customHeight="1">
      <c r="A51" s="351" t="s">
        <v>333</v>
      </c>
      <c r="B51" s="307" t="s">
        <v>111</v>
      </c>
      <c r="C51" s="47" t="s">
        <v>111</v>
      </c>
      <c r="D51" s="168" t="str">
        <f>'4.5'!I$28</f>
        <v>66.23</v>
      </c>
    </row>
    <row r="52" spans="1:4" ht="14.25" customHeight="1">
      <c r="A52" s="354" t="s">
        <v>300</v>
      </c>
      <c r="B52" s="274" t="s">
        <v>111</v>
      </c>
      <c r="C52" s="401" t="s">
        <v>111</v>
      </c>
      <c r="D52" s="680" t="str">
        <f>'4.5'!J$28</f>
        <v>73.25</v>
      </c>
    </row>
    <row r="53" spans="1:4" ht="15" customHeight="1">
      <c r="A53" s="129"/>
      <c r="B53" s="296"/>
      <c r="C53" s="402"/>
      <c r="D53" s="1136" t="s">
        <v>1011</v>
      </c>
    </row>
    <row r="54" spans="1:4" s="7" customFormat="1">
      <c r="A54" s="129"/>
      <c r="B54" s="296"/>
      <c r="C54" s="402"/>
      <c r="D54" s="31"/>
    </row>
    <row r="55" spans="1:4" s="7" customFormat="1">
      <c r="A55" s="129"/>
      <c r="B55" s="296"/>
      <c r="C55" s="402"/>
      <c r="D55" s="31"/>
    </row>
    <row r="56" spans="1:4" s="7" customFormat="1">
      <c r="A56" s="1285" t="s">
        <v>597</v>
      </c>
      <c r="B56" s="1285"/>
      <c r="C56" s="1285"/>
      <c r="D56" s="1285"/>
    </row>
    <row r="57" spans="1:4" s="7" customFormat="1">
      <c r="A57" s="129"/>
      <c r="B57" s="296"/>
      <c r="C57" s="402"/>
      <c r="D57" s="31"/>
    </row>
    <row r="58" spans="1:4" ht="19.5">
      <c r="A58" s="1284" t="s">
        <v>1099</v>
      </c>
      <c r="B58" s="1284"/>
      <c r="C58" s="1284"/>
      <c r="D58" s="1284"/>
    </row>
    <row r="59" spans="1:4" ht="15" customHeight="1">
      <c r="A59" s="393" t="s">
        <v>97</v>
      </c>
      <c r="B59" s="393" t="s">
        <v>98</v>
      </c>
      <c r="C59" s="393" t="s">
        <v>99</v>
      </c>
      <c r="D59" s="394" t="s">
        <v>100</v>
      </c>
    </row>
    <row r="60" spans="1:4" ht="15" customHeight="1">
      <c r="A60" s="397" t="s">
        <v>49</v>
      </c>
      <c r="B60" s="307"/>
      <c r="C60" s="47"/>
      <c r="D60" s="48"/>
    </row>
    <row r="61" spans="1:4" ht="15" customHeight="1">
      <c r="A61" s="351" t="s">
        <v>830</v>
      </c>
      <c r="B61" s="307">
        <f>District!$C$1</f>
        <v>2014</v>
      </c>
      <c r="C61" s="47" t="s">
        <v>101</v>
      </c>
      <c r="D61" s="48" t="str">
        <f>'9.1'!H9</f>
        <v>640 (P)</v>
      </c>
    </row>
    <row r="62" spans="1:4" ht="15" customHeight="1">
      <c r="A62" s="1040" t="s">
        <v>744</v>
      </c>
      <c r="B62" s="307" t="str">
        <f>District!$C$2</f>
        <v>2013-14</v>
      </c>
      <c r="C62" s="47" t="s">
        <v>111</v>
      </c>
      <c r="D62" s="48">
        <f>'8.1,8.2'!D11</f>
        <v>4812</v>
      </c>
    </row>
    <row r="63" spans="1:4" ht="15" customHeight="1">
      <c r="A63" s="397" t="s">
        <v>50</v>
      </c>
      <c r="B63" s="307"/>
      <c r="C63" s="47"/>
      <c r="D63" s="48"/>
    </row>
    <row r="64" spans="1:4" ht="15" customHeight="1">
      <c r="A64" s="351" t="s">
        <v>739</v>
      </c>
      <c r="B64" s="307" t="s">
        <v>1577</v>
      </c>
      <c r="C64" s="47" t="s">
        <v>111</v>
      </c>
      <c r="D64" s="48">
        <f>'9.1'!H11</f>
        <v>14011</v>
      </c>
    </row>
    <row r="65" spans="1:4" ht="15" customHeight="1">
      <c r="A65" s="351" t="s">
        <v>246</v>
      </c>
      <c r="B65" s="307">
        <f>District!$C$1</f>
        <v>2014</v>
      </c>
      <c r="C65" s="47" t="s">
        <v>111</v>
      </c>
      <c r="D65" s="48" t="str">
        <f>'9.1'!H10</f>
        <v>35476 (P)</v>
      </c>
    </row>
    <row r="66" spans="1:4" ht="15" customHeight="1">
      <c r="A66" s="1040" t="s">
        <v>744</v>
      </c>
      <c r="B66" s="307" t="str">
        <f>District!$C$2</f>
        <v>2013-14</v>
      </c>
      <c r="C66" s="47" t="s">
        <v>111</v>
      </c>
      <c r="D66" s="48">
        <f>'8.1,8.2'!F11</f>
        <v>22889</v>
      </c>
    </row>
    <row r="67" spans="1:4" ht="15" customHeight="1">
      <c r="A67" s="397" t="s">
        <v>51</v>
      </c>
      <c r="B67" s="307"/>
      <c r="C67" s="47"/>
      <c r="D67" s="48"/>
    </row>
    <row r="68" spans="1:4" ht="15" customHeight="1">
      <c r="A68" s="351" t="s">
        <v>831</v>
      </c>
      <c r="B68" s="307">
        <f>District!$C$1</f>
        <v>2014</v>
      </c>
      <c r="C68" s="47" t="s">
        <v>111</v>
      </c>
      <c r="D68" s="48">
        <f>'10.1,10.2'!F24</f>
        <v>280864</v>
      </c>
    </row>
    <row r="69" spans="1:4" ht="15" customHeight="1">
      <c r="A69" s="397" t="s">
        <v>231</v>
      </c>
      <c r="B69" s="307"/>
      <c r="C69" s="47"/>
      <c r="D69" s="48"/>
    </row>
    <row r="70" spans="1:4" ht="15" customHeight="1">
      <c r="A70" s="351" t="s">
        <v>1329</v>
      </c>
      <c r="B70" s="307" t="str">
        <f>District!$C$2</f>
        <v>2013-14</v>
      </c>
      <c r="C70" s="47" t="s">
        <v>111</v>
      </c>
      <c r="D70" s="48">
        <f>'8.1,8.2'!F37</f>
        <v>744</v>
      </c>
    </row>
    <row r="71" spans="1:4" ht="17.25" customHeight="1">
      <c r="A71" s="351" t="s">
        <v>740</v>
      </c>
      <c r="B71" s="307" t="s">
        <v>111</v>
      </c>
      <c r="C71" s="399" t="s">
        <v>1091</v>
      </c>
      <c r="D71" s="48">
        <f>'8.2a'!J10</f>
        <v>374846</v>
      </c>
    </row>
    <row r="72" spans="1:4" ht="15" customHeight="1">
      <c r="A72" s="397" t="s">
        <v>232</v>
      </c>
      <c r="B72" s="307"/>
      <c r="C72" s="47"/>
      <c r="D72" s="48"/>
    </row>
    <row r="73" spans="1:4" ht="15" customHeight="1">
      <c r="A73" s="351" t="s">
        <v>233</v>
      </c>
      <c r="B73" s="307" t="s">
        <v>111</v>
      </c>
      <c r="C73" s="47" t="s">
        <v>101</v>
      </c>
      <c r="D73" s="48">
        <f>'7.1'!C47</f>
        <v>893</v>
      </c>
    </row>
    <row r="74" spans="1:4" ht="15" customHeight="1">
      <c r="A74" s="351" t="s">
        <v>236</v>
      </c>
      <c r="B74" s="307" t="s">
        <v>111</v>
      </c>
      <c r="C74" s="47" t="s">
        <v>111</v>
      </c>
      <c r="D74" s="48">
        <f>'7.1'!D47</f>
        <v>203035</v>
      </c>
    </row>
    <row r="75" spans="1:4" ht="15" customHeight="1">
      <c r="A75" s="351" t="s">
        <v>237</v>
      </c>
      <c r="B75" s="307" t="s">
        <v>111</v>
      </c>
      <c r="C75" s="399" t="s">
        <v>884</v>
      </c>
      <c r="D75" s="48">
        <f>'7.1'!E47</f>
        <v>5884769</v>
      </c>
    </row>
    <row r="76" spans="1:4" ht="15" customHeight="1">
      <c r="A76" s="397" t="s">
        <v>625</v>
      </c>
      <c r="B76" s="307"/>
      <c r="C76" s="399"/>
      <c r="D76" s="48"/>
    </row>
    <row r="77" spans="1:4" ht="15" customHeight="1">
      <c r="A77" s="351" t="s">
        <v>238</v>
      </c>
      <c r="B77" s="403" t="str">
        <f>"June, " &amp; '7.2,7.3'!A11</f>
        <v>June, 2014</v>
      </c>
      <c r="C77" s="47" t="s">
        <v>101</v>
      </c>
      <c r="D77" s="48">
        <f>'7.2,7.3'!N11</f>
        <v>208</v>
      </c>
    </row>
    <row r="78" spans="1:4" ht="15" customHeight="1">
      <c r="A78" s="397" t="s">
        <v>52</v>
      </c>
      <c r="B78" s="307"/>
      <c r="C78" s="47"/>
      <c r="D78" s="48"/>
    </row>
    <row r="79" spans="1:4" ht="15" customHeight="1">
      <c r="A79" s="351" t="s">
        <v>239</v>
      </c>
      <c r="B79" s="307" t="str">
        <f>District!$C$2</f>
        <v>2013-14</v>
      </c>
      <c r="C79" s="47" t="s">
        <v>101</v>
      </c>
      <c r="D79" s="48">
        <f>'12.5,12.6,12.7'!B21</f>
        <v>301</v>
      </c>
    </row>
    <row r="80" spans="1:4" ht="15" customHeight="1">
      <c r="A80" s="351" t="s">
        <v>745</v>
      </c>
      <c r="B80" s="307" t="s">
        <v>111</v>
      </c>
      <c r="C80" s="47" t="s">
        <v>111</v>
      </c>
      <c r="D80" s="48" t="str">
        <f>'12.5,12.6,12.7'!F21</f>
        <v>-</v>
      </c>
    </row>
    <row r="81" spans="1:6" ht="15" customHeight="1">
      <c r="A81" s="351" t="s">
        <v>1628</v>
      </c>
      <c r="B81" s="307" t="s">
        <v>111</v>
      </c>
      <c r="C81" s="47" t="s">
        <v>75</v>
      </c>
      <c r="D81" s="168">
        <f>SUM('12.1,12.2'!B11,'12.1,12.2'!E11,'12.1,12.2'!H11,'12.1,12.2'!K11,'12.3,12.4'!C10)</f>
        <v>4528.7000000000007</v>
      </c>
      <c r="F81" s="19"/>
    </row>
    <row r="82" spans="1:6" ht="15" customHeight="1">
      <c r="A82" s="351" t="s">
        <v>1629</v>
      </c>
      <c r="B82" s="307" t="s">
        <v>111</v>
      </c>
      <c r="C82" s="47" t="s">
        <v>111</v>
      </c>
      <c r="D82" s="168">
        <f>SUM('12.1,12.2'!C11,'12.1,12.2'!F11,'12.1,12.2'!I11,'12.1,12.2'!L11,'12.3,12.4'!F10)</f>
        <v>3576.2799999999997</v>
      </c>
      <c r="F82" s="19"/>
    </row>
    <row r="83" spans="1:6" ht="15" customHeight="1">
      <c r="A83" s="351" t="s">
        <v>1348</v>
      </c>
      <c r="B83" s="307" t="s">
        <v>111</v>
      </c>
      <c r="C83" s="47" t="s">
        <v>101</v>
      </c>
      <c r="D83" s="48">
        <f>'12.3,12.4'!K29</f>
        <v>178138</v>
      </c>
    </row>
    <row r="84" spans="1:6" ht="15" customHeight="1">
      <c r="A84" s="397" t="s">
        <v>241</v>
      </c>
      <c r="B84" s="307"/>
      <c r="C84" s="47"/>
      <c r="D84" s="48"/>
    </row>
    <row r="85" spans="1:6" ht="15" customHeight="1">
      <c r="A85" s="351" t="s">
        <v>741</v>
      </c>
      <c r="B85" s="307" t="s">
        <v>111</v>
      </c>
      <c r="C85" s="399" t="s">
        <v>884</v>
      </c>
      <c r="D85" s="48">
        <f>'15.2'!B10</f>
        <v>1063000</v>
      </c>
    </row>
    <row r="86" spans="1:6" ht="15" customHeight="1">
      <c r="A86" s="354" t="s">
        <v>1201</v>
      </c>
      <c r="B86" s="274" t="s">
        <v>111</v>
      </c>
      <c r="C86" s="401" t="s">
        <v>111</v>
      </c>
      <c r="D86" s="43">
        <f>'15.1'!L10</f>
        <v>3465204</v>
      </c>
    </row>
    <row r="87" spans="1:6">
      <c r="A87" s="937"/>
      <c r="B87" s="181"/>
      <c r="C87" s="181"/>
      <c r="D87" s="181"/>
    </row>
    <row r="112" spans="1:4">
      <c r="A112" s="1282" t="s">
        <v>599</v>
      </c>
      <c r="B112" s="1282"/>
      <c r="C112" s="1282"/>
      <c r="D112" s="1282"/>
    </row>
  </sheetData>
  <mergeCells count="4">
    <mergeCell ref="A112:D112"/>
    <mergeCell ref="A1:D1"/>
    <mergeCell ref="A58:D58"/>
    <mergeCell ref="A56:D56"/>
  </mergeCells>
  <phoneticPr fontId="0" type="noConversion"/>
  <printOptions horizontalCentered="1"/>
  <pageMargins left="0.1" right="0.1" top="0.5" bottom="0.1" header="0.5" footer="0.1"/>
  <pageSetup paperSize="9" orientation="portrait" blackAndWhite="1" r:id="rId1"/>
  <headerFooter alignWithMargins="0"/>
  <rowBreaks count="1" manualBreakCount="1">
    <brk id="56" max="16383" man="1"/>
  </rowBreaks>
  <legacyDrawing r:id="rId2"/>
  <oleObjects>
    <oleObject progId="Word.Document.8" shapeId="29697" r:id="rId3"/>
  </oleObjects>
</worksheet>
</file>

<file path=xl/worksheets/sheet50.xml><?xml version="1.0" encoding="utf-8"?>
<worksheet xmlns="http://schemas.openxmlformats.org/spreadsheetml/2006/main" xmlns:r="http://schemas.openxmlformats.org/officeDocument/2006/relationships">
  <sheetPr codeName="Sheet38"/>
  <dimension ref="A1:J39"/>
  <sheetViews>
    <sheetView topLeftCell="A25" workbookViewId="0">
      <selection activeCell="G33" sqref="G33:I34"/>
    </sheetView>
  </sheetViews>
  <sheetFormatPr defaultRowHeight="12.4" customHeight="1"/>
  <cols>
    <col min="1" max="1" width="19.5703125" customWidth="1"/>
    <col min="2" max="2" width="7.7109375" customWidth="1"/>
    <col min="3" max="3" width="7.140625" customWidth="1"/>
    <col min="4" max="4" width="8" customWidth="1"/>
    <col min="5" max="5" width="6.85546875" customWidth="1"/>
    <col min="6" max="6" width="6.5703125" customWidth="1"/>
    <col min="7" max="7" width="15" customWidth="1"/>
    <col min="8" max="8" width="10.28515625" customWidth="1"/>
  </cols>
  <sheetData>
    <row r="1" spans="1:10" ht="15" customHeight="1">
      <c r="A1" s="1286" t="s">
        <v>442</v>
      </c>
      <c r="B1" s="1286"/>
      <c r="C1" s="1286"/>
      <c r="D1" s="1286"/>
      <c r="E1" s="1286"/>
      <c r="F1" s="1286"/>
      <c r="G1" s="1286"/>
      <c r="H1" s="1286"/>
      <c r="I1" s="1286"/>
    </row>
    <row r="2" spans="1:10" ht="36" customHeight="1">
      <c r="A2" s="1437" t="str">
        <f>CONCATENATE("Veterinary Hospitals, Veterinary Personnel and Cases treated
 in the district of ",District!A1)</f>
        <v>Veterinary Hospitals, Veterinary Personnel and Cases treated
 in the district of Jalpaiguri</v>
      </c>
      <c r="B2" s="1437"/>
      <c r="C2" s="1437"/>
      <c r="D2" s="1437"/>
      <c r="E2" s="1437"/>
      <c r="F2" s="1437"/>
      <c r="G2" s="1437"/>
      <c r="H2" s="1437"/>
      <c r="I2" s="1437"/>
      <c r="J2" s="157"/>
    </row>
    <row r="3" spans="1:10" ht="12" customHeight="1">
      <c r="A3" s="359"/>
      <c r="B3" s="405"/>
      <c r="C3" s="405"/>
      <c r="D3" s="405"/>
      <c r="E3" s="405"/>
      <c r="F3" s="405"/>
      <c r="G3" s="405"/>
      <c r="H3" s="405"/>
      <c r="I3" s="407" t="s">
        <v>312</v>
      </c>
    </row>
    <row r="4" spans="1:10" ht="38.25" customHeight="1">
      <c r="A4" s="748" t="s">
        <v>98</v>
      </c>
      <c r="B4" s="747" t="s">
        <v>391</v>
      </c>
      <c r="C4" s="744" t="s">
        <v>1093</v>
      </c>
      <c r="D4" s="745" t="s">
        <v>1094</v>
      </c>
      <c r="E4" s="744" t="s">
        <v>1095</v>
      </c>
      <c r="F4" s="745" t="s">
        <v>1096</v>
      </c>
      <c r="G4" s="749" t="s">
        <v>1247</v>
      </c>
      <c r="H4" s="747" t="s">
        <v>1246</v>
      </c>
      <c r="I4" s="746" t="s">
        <v>580</v>
      </c>
    </row>
    <row r="5" spans="1:10" ht="18" customHeight="1">
      <c r="A5" s="92" t="s">
        <v>278</v>
      </c>
      <c r="B5" s="57" t="s">
        <v>279</v>
      </c>
      <c r="C5" s="87" t="s">
        <v>280</v>
      </c>
      <c r="D5" s="57" t="s">
        <v>281</v>
      </c>
      <c r="E5" s="87" t="s">
        <v>282</v>
      </c>
      <c r="F5" s="57" t="s">
        <v>283</v>
      </c>
      <c r="G5" s="87" t="s">
        <v>284</v>
      </c>
      <c r="H5" s="57" t="s">
        <v>301</v>
      </c>
      <c r="I5" s="60" t="s">
        <v>302</v>
      </c>
    </row>
    <row r="6" spans="1:10" ht="19.5" customHeight="1">
      <c r="A6" s="52" t="s">
        <v>1110</v>
      </c>
      <c r="B6" s="52">
        <v>6</v>
      </c>
      <c r="C6" s="31">
        <v>13</v>
      </c>
      <c r="D6" s="52">
        <v>13</v>
      </c>
      <c r="E6" s="31">
        <v>122</v>
      </c>
      <c r="F6" s="702" t="s">
        <v>570</v>
      </c>
      <c r="G6" s="31">
        <v>236</v>
      </c>
      <c r="H6" s="52">
        <v>190</v>
      </c>
      <c r="I6" s="48">
        <v>376036</v>
      </c>
    </row>
    <row r="7" spans="1:10" ht="19.5" customHeight="1">
      <c r="A7" s="52" t="s">
        <v>1111</v>
      </c>
      <c r="B7" s="52">
        <v>6</v>
      </c>
      <c r="C7" s="31">
        <v>13</v>
      </c>
      <c r="D7" s="52">
        <v>13</v>
      </c>
      <c r="E7" s="31">
        <v>122</v>
      </c>
      <c r="F7" s="702" t="s">
        <v>570</v>
      </c>
      <c r="G7" s="31">
        <v>270</v>
      </c>
      <c r="H7" s="52">
        <v>186</v>
      </c>
      <c r="I7" s="48">
        <v>385210</v>
      </c>
    </row>
    <row r="8" spans="1:10" ht="19.5" customHeight="1">
      <c r="A8" s="1016" t="s">
        <v>641</v>
      </c>
      <c r="B8" s="1016">
        <v>6</v>
      </c>
      <c r="C8" s="595">
        <v>13</v>
      </c>
      <c r="D8" s="1016">
        <v>13</v>
      </c>
      <c r="E8" s="595">
        <v>122</v>
      </c>
      <c r="F8" s="1017" t="s">
        <v>570</v>
      </c>
      <c r="G8" s="595">
        <v>272</v>
      </c>
      <c r="H8" s="1016">
        <v>188</v>
      </c>
      <c r="I8" s="1018">
        <v>392328</v>
      </c>
    </row>
    <row r="9" spans="1:10" ht="19.5" customHeight="1">
      <c r="A9" s="52" t="s">
        <v>909</v>
      </c>
      <c r="B9" s="52">
        <v>6</v>
      </c>
      <c r="C9" s="31">
        <v>13</v>
      </c>
      <c r="D9" s="52">
        <v>13</v>
      </c>
      <c r="E9" s="31">
        <v>122</v>
      </c>
      <c r="F9" s="702" t="s">
        <v>570</v>
      </c>
      <c r="G9" s="31">
        <v>272</v>
      </c>
      <c r="H9" s="52">
        <v>186</v>
      </c>
      <c r="I9" s="48">
        <v>402961</v>
      </c>
    </row>
    <row r="10" spans="1:10" ht="19.5" customHeight="1">
      <c r="A10" s="1019" t="s">
        <v>895</v>
      </c>
      <c r="B10" s="1019">
        <f>SUM(B12,B20,B25,)</f>
        <v>6</v>
      </c>
      <c r="C10" s="1020">
        <f>SUM(C12,C20,C25,)</f>
        <v>13</v>
      </c>
      <c r="D10" s="1019">
        <f>SUM(D12,D20,D25,)</f>
        <v>13</v>
      </c>
      <c r="E10" s="1020">
        <f>SUM(E12,E20,E25,)</f>
        <v>122</v>
      </c>
      <c r="F10" s="1021" t="s">
        <v>570</v>
      </c>
      <c r="G10" s="1020">
        <f>SUM(G12,G20,G25,)</f>
        <v>267</v>
      </c>
      <c r="H10" s="1019">
        <f>SUM(H12,H20,H25,)</f>
        <v>190</v>
      </c>
      <c r="I10" s="1022">
        <f>SUM(I12,I20,I25,)</f>
        <v>408358</v>
      </c>
    </row>
    <row r="11" spans="1:10" ht="33" customHeight="1">
      <c r="A11" s="459" t="s">
        <v>846</v>
      </c>
      <c r="B11" s="1305" t="str">
        <f>"Year : " &amp; A10</f>
        <v>Year : 2013-14</v>
      </c>
      <c r="C11" s="1515"/>
      <c r="D11" s="1515"/>
      <c r="E11" s="1515"/>
      <c r="F11" s="1515"/>
      <c r="G11" s="1515"/>
      <c r="H11" s="1515"/>
      <c r="I11" s="1306"/>
    </row>
    <row r="12" spans="1:10" ht="19.5" customHeight="1">
      <c r="A12" s="616" t="s">
        <v>1081</v>
      </c>
      <c r="B12" s="239">
        <f>SUM(B13:B18)</f>
        <v>2</v>
      </c>
      <c r="C12" s="579">
        <f t="shared" ref="C12:I12" si="0">SUM(C13:C18)</f>
        <v>4</v>
      </c>
      <c r="D12" s="223">
        <f t="shared" si="0"/>
        <v>4</v>
      </c>
      <c r="E12" s="579">
        <f t="shared" si="0"/>
        <v>51</v>
      </c>
      <c r="F12" s="223" t="str">
        <f>IF(SUM(F13:F18)=0,"-",SUM(F13:F18))</f>
        <v>-</v>
      </c>
      <c r="G12" s="579">
        <f t="shared" si="0"/>
        <v>120</v>
      </c>
      <c r="H12" s="579">
        <f t="shared" si="0"/>
        <v>82</v>
      </c>
      <c r="I12" s="564">
        <f t="shared" si="0"/>
        <v>176144</v>
      </c>
    </row>
    <row r="13" spans="1:10" ht="19.5" customHeight="1">
      <c r="A13" s="617" t="s">
        <v>561</v>
      </c>
      <c r="B13" s="169" t="s">
        <v>570</v>
      </c>
      <c r="C13" s="52">
        <v>1</v>
      </c>
      <c r="D13" s="31">
        <v>1</v>
      </c>
      <c r="E13" s="52">
        <v>10</v>
      </c>
      <c r="F13" s="52" t="s">
        <v>570</v>
      </c>
      <c r="G13" s="52">
        <v>21</v>
      </c>
      <c r="H13" s="52">
        <v>16</v>
      </c>
      <c r="I13" s="48">
        <v>28936</v>
      </c>
    </row>
    <row r="14" spans="1:10" ht="19.5" customHeight="1">
      <c r="A14" s="617" t="s">
        <v>1149</v>
      </c>
      <c r="B14" s="169" t="s">
        <v>570</v>
      </c>
      <c r="C14" s="52" t="s">
        <v>570</v>
      </c>
      <c r="D14" s="31">
        <v>1</v>
      </c>
      <c r="E14" s="52">
        <v>13</v>
      </c>
      <c r="F14" s="52" t="s">
        <v>570</v>
      </c>
      <c r="G14" s="52">
        <v>26</v>
      </c>
      <c r="H14" s="52">
        <v>19</v>
      </c>
      <c r="I14" s="48">
        <v>39066</v>
      </c>
    </row>
    <row r="15" spans="1:10" ht="19.5" customHeight="1">
      <c r="A15" s="617" t="s">
        <v>562</v>
      </c>
      <c r="B15" s="169">
        <v>1</v>
      </c>
      <c r="C15" s="52">
        <v>1</v>
      </c>
      <c r="D15" s="31" t="s">
        <v>570</v>
      </c>
      <c r="E15" s="52" t="s">
        <v>570</v>
      </c>
      <c r="F15" s="52" t="s">
        <v>570</v>
      </c>
      <c r="G15" s="52">
        <v>2</v>
      </c>
      <c r="H15" s="52">
        <v>15</v>
      </c>
      <c r="I15" s="48">
        <v>12090</v>
      </c>
    </row>
    <row r="16" spans="1:10" ht="19.5" customHeight="1">
      <c r="A16" s="617" t="s">
        <v>549</v>
      </c>
      <c r="B16" s="169" t="s">
        <v>570</v>
      </c>
      <c r="C16" s="52">
        <v>1</v>
      </c>
      <c r="D16" s="31">
        <v>1</v>
      </c>
      <c r="E16" s="52">
        <v>14</v>
      </c>
      <c r="F16" s="52" t="s">
        <v>570</v>
      </c>
      <c r="G16" s="52">
        <v>37</v>
      </c>
      <c r="H16" s="52">
        <v>16</v>
      </c>
      <c r="I16" s="48">
        <v>40539</v>
      </c>
    </row>
    <row r="17" spans="1:9" ht="19.5" customHeight="1">
      <c r="A17" s="617" t="s">
        <v>550</v>
      </c>
      <c r="B17" s="169" t="s">
        <v>570</v>
      </c>
      <c r="C17" s="52">
        <v>1</v>
      </c>
      <c r="D17" s="31">
        <v>1</v>
      </c>
      <c r="E17" s="52">
        <v>14</v>
      </c>
      <c r="F17" s="52" t="s">
        <v>570</v>
      </c>
      <c r="G17" s="52">
        <v>33</v>
      </c>
      <c r="H17" s="52">
        <v>14</v>
      </c>
      <c r="I17" s="48">
        <v>36158</v>
      </c>
    </row>
    <row r="18" spans="1:9" ht="19.5" customHeight="1">
      <c r="A18" s="617" t="s">
        <v>563</v>
      </c>
      <c r="B18" s="232">
        <v>1</v>
      </c>
      <c r="C18" s="227" t="s">
        <v>570</v>
      </c>
      <c r="D18" s="225" t="s">
        <v>570</v>
      </c>
      <c r="E18" s="227" t="s">
        <v>570</v>
      </c>
      <c r="F18" s="52" t="s">
        <v>570</v>
      </c>
      <c r="G18" s="227">
        <v>1</v>
      </c>
      <c r="H18" s="227">
        <v>2</v>
      </c>
      <c r="I18" s="216">
        <v>19355</v>
      </c>
    </row>
    <row r="19" spans="1:9" ht="19.5" customHeight="1">
      <c r="A19" s="618" t="s">
        <v>765</v>
      </c>
      <c r="B19" s="232" t="s">
        <v>117</v>
      </c>
      <c r="C19" s="232" t="s">
        <v>117</v>
      </c>
      <c r="D19" s="232" t="s">
        <v>117</v>
      </c>
      <c r="E19" s="232" t="s">
        <v>117</v>
      </c>
      <c r="F19" s="232" t="s">
        <v>117</v>
      </c>
      <c r="G19" s="232" t="s">
        <v>117</v>
      </c>
      <c r="H19" s="232" t="s">
        <v>117</v>
      </c>
      <c r="I19" s="227" t="s">
        <v>117</v>
      </c>
    </row>
    <row r="20" spans="1:9" ht="19.5" customHeight="1">
      <c r="A20" s="616" t="s">
        <v>551</v>
      </c>
      <c r="B20" s="239">
        <f>SUM(B21:B24)</f>
        <v>1</v>
      </c>
      <c r="C20" s="229">
        <f>SUM(C21:C24)</f>
        <v>3</v>
      </c>
      <c r="D20" s="223">
        <f>SUM(D21:D24)</f>
        <v>3</v>
      </c>
      <c r="E20" s="229">
        <f>SUM(E21:E24)</f>
        <v>16</v>
      </c>
      <c r="F20" s="223" t="str">
        <f>IF(SUM(F21:F26)=0,"-",SUM(F21:F26))</f>
        <v>-</v>
      </c>
      <c r="G20" s="229">
        <f>SUM(G21:G24)</f>
        <v>36</v>
      </c>
      <c r="H20" s="229">
        <f>SUM(H21:H24)</f>
        <v>27</v>
      </c>
      <c r="I20" s="211">
        <f>SUM(I21:I24)</f>
        <v>60450</v>
      </c>
    </row>
    <row r="21" spans="1:9" ht="19.5" customHeight="1">
      <c r="A21" s="617" t="s">
        <v>552</v>
      </c>
      <c r="B21" s="169" t="s">
        <v>570</v>
      </c>
      <c r="C21" s="52">
        <v>1</v>
      </c>
      <c r="D21" s="31">
        <v>1</v>
      </c>
      <c r="E21" s="52">
        <v>10</v>
      </c>
      <c r="F21" s="52" t="s">
        <v>570</v>
      </c>
      <c r="G21" s="52">
        <v>22</v>
      </c>
      <c r="H21" s="52">
        <v>9</v>
      </c>
      <c r="I21" s="48">
        <v>25357</v>
      </c>
    </row>
    <row r="22" spans="1:9" ht="19.5" customHeight="1">
      <c r="A22" s="617" t="s">
        <v>565</v>
      </c>
      <c r="B22" s="169">
        <v>1</v>
      </c>
      <c r="C22" s="52" t="s">
        <v>570</v>
      </c>
      <c r="D22" s="31" t="s">
        <v>570</v>
      </c>
      <c r="E22" s="52" t="s">
        <v>570</v>
      </c>
      <c r="F22" s="52" t="s">
        <v>570</v>
      </c>
      <c r="G22" s="52">
        <v>1</v>
      </c>
      <c r="H22" s="52">
        <v>2</v>
      </c>
      <c r="I22" s="415">
        <v>5318</v>
      </c>
    </row>
    <row r="23" spans="1:9" ht="19.5" customHeight="1">
      <c r="A23" s="617" t="s">
        <v>553</v>
      </c>
      <c r="B23" s="169" t="s">
        <v>570</v>
      </c>
      <c r="C23" s="52">
        <v>1</v>
      </c>
      <c r="D23" s="31">
        <v>1</v>
      </c>
      <c r="E23" s="52">
        <v>3</v>
      </c>
      <c r="F23" s="52" t="s">
        <v>570</v>
      </c>
      <c r="G23" s="52">
        <v>6</v>
      </c>
      <c r="H23" s="52">
        <v>10</v>
      </c>
      <c r="I23" s="48">
        <v>14572</v>
      </c>
    </row>
    <row r="24" spans="1:9" ht="19.5" customHeight="1">
      <c r="A24" s="617" t="s">
        <v>554</v>
      </c>
      <c r="B24" s="169" t="s">
        <v>570</v>
      </c>
      <c r="C24" s="52">
        <v>1</v>
      </c>
      <c r="D24" s="31">
        <v>1</v>
      </c>
      <c r="E24" s="52">
        <v>3</v>
      </c>
      <c r="F24" s="52" t="s">
        <v>570</v>
      </c>
      <c r="G24" s="52">
        <v>7</v>
      </c>
      <c r="H24" s="52">
        <v>6</v>
      </c>
      <c r="I24" s="48">
        <v>15203</v>
      </c>
    </row>
    <row r="25" spans="1:9" ht="19.5" customHeight="1">
      <c r="A25" s="616" t="s">
        <v>556</v>
      </c>
      <c r="B25" s="239">
        <f>SUM(B26:B32)</f>
        <v>3</v>
      </c>
      <c r="C25" s="229">
        <f>SUM(C26:C32)</f>
        <v>6</v>
      </c>
      <c r="D25" s="223">
        <f>SUM(D26:D32)</f>
        <v>6</v>
      </c>
      <c r="E25" s="229">
        <f>SUM(E26:E32)</f>
        <v>55</v>
      </c>
      <c r="F25" s="223" t="str">
        <f>IF(SUM(F26:F31)=0,"-",SUM(F26:F31))</f>
        <v>-</v>
      </c>
      <c r="G25" s="229">
        <f>SUM(G26:G32)</f>
        <v>111</v>
      </c>
      <c r="H25" s="229">
        <f>SUM(H26:H32)</f>
        <v>81</v>
      </c>
      <c r="I25" s="211">
        <f>SUM(I26:I32)</f>
        <v>171764</v>
      </c>
    </row>
    <row r="26" spans="1:9" ht="19.5" customHeight="1">
      <c r="A26" s="617" t="s">
        <v>555</v>
      </c>
      <c r="B26" s="169" t="s">
        <v>570</v>
      </c>
      <c r="C26" s="52">
        <v>1</v>
      </c>
      <c r="D26" s="31">
        <v>1</v>
      </c>
      <c r="E26" s="52">
        <v>9</v>
      </c>
      <c r="F26" s="52" t="s">
        <v>570</v>
      </c>
      <c r="G26" s="52">
        <v>20</v>
      </c>
      <c r="H26" s="52">
        <v>13</v>
      </c>
      <c r="I26" s="48">
        <v>23006</v>
      </c>
    </row>
    <row r="27" spans="1:9" ht="19.5" customHeight="1">
      <c r="A27" s="617" t="s">
        <v>557</v>
      </c>
      <c r="B27" s="169">
        <v>1</v>
      </c>
      <c r="C27" s="52">
        <v>1</v>
      </c>
      <c r="D27" s="31">
        <v>1</v>
      </c>
      <c r="E27" s="52">
        <v>10</v>
      </c>
      <c r="F27" s="52" t="s">
        <v>570</v>
      </c>
      <c r="G27" s="52">
        <v>23</v>
      </c>
      <c r="H27" s="52">
        <v>14</v>
      </c>
      <c r="I27" s="48">
        <v>31243</v>
      </c>
    </row>
    <row r="28" spans="1:9" ht="19.5" customHeight="1">
      <c r="A28" s="617" t="s">
        <v>560</v>
      </c>
      <c r="B28" s="169">
        <v>1</v>
      </c>
      <c r="C28" s="52">
        <v>1</v>
      </c>
      <c r="D28" s="31">
        <v>1</v>
      </c>
      <c r="E28" s="52">
        <v>8</v>
      </c>
      <c r="F28" s="52" t="s">
        <v>570</v>
      </c>
      <c r="G28" s="52">
        <v>14</v>
      </c>
      <c r="H28" s="52">
        <v>12</v>
      </c>
      <c r="I28" s="48">
        <v>28055</v>
      </c>
    </row>
    <row r="29" spans="1:9" ht="19.5" customHeight="1">
      <c r="A29" s="617" t="s">
        <v>566</v>
      </c>
      <c r="B29" s="169" t="s">
        <v>570</v>
      </c>
      <c r="C29" s="52">
        <v>1</v>
      </c>
      <c r="D29" s="31">
        <v>1</v>
      </c>
      <c r="E29" s="52">
        <v>10</v>
      </c>
      <c r="F29" s="52" t="s">
        <v>570</v>
      </c>
      <c r="G29" s="52">
        <v>15</v>
      </c>
      <c r="H29" s="52">
        <v>11</v>
      </c>
      <c r="I29" s="48">
        <v>22757</v>
      </c>
    </row>
    <row r="30" spans="1:9" ht="19.5" customHeight="1">
      <c r="A30" s="617" t="s">
        <v>567</v>
      </c>
      <c r="B30" s="169" t="s">
        <v>570</v>
      </c>
      <c r="C30" s="52">
        <v>1</v>
      </c>
      <c r="D30" s="31">
        <v>1</v>
      </c>
      <c r="E30" s="52">
        <v>9</v>
      </c>
      <c r="F30" s="52" t="s">
        <v>570</v>
      </c>
      <c r="G30" s="52">
        <v>18</v>
      </c>
      <c r="H30" s="52">
        <v>14</v>
      </c>
      <c r="I30" s="48">
        <v>26968</v>
      </c>
    </row>
    <row r="31" spans="1:9" ht="19.5" customHeight="1">
      <c r="A31" s="617" t="s">
        <v>1132</v>
      </c>
      <c r="B31" s="169">
        <v>1</v>
      </c>
      <c r="C31" s="52" t="s">
        <v>570</v>
      </c>
      <c r="D31" s="31" t="s">
        <v>570</v>
      </c>
      <c r="E31" s="52" t="s">
        <v>570</v>
      </c>
      <c r="F31" s="52" t="s">
        <v>570</v>
      </c>
      <c r="G31" s="52">
        <v>1</v>
      </c>
      <c r="H31" s="52">
        <v>3</v>
      </c>
      <c r="I31" s="48">
        <v>8632</v>
      </c>
    </row>
    <row r="32" spans="1:9" ht="19.5" customHeight="1">
      <c r="A32" s="619" t="s">
        <v>569</v>
      </c>
      <c r="B32" s="44" t="s">
        <v>570</v>
      </c>
      <c r="C32" s="155">
        <v>1</v>
      </c>
      <c r="D32" s="158">
        <v>1</v>
      </c>
      <c r="E32" s="155">
        <v>9</v>
      </c>
      <c r="F32" s="155" t="s">
        <v>570</v>
      </c>
      <c r="G32" s="155">
        <v>20</v>
      </c>
      <c r="H32" s="155">
        <v>14</v>
      </c>
      <c r="I32" s="43">
        <v>31103</v>
      </c>
    </row>
    <row r="33" spans="1:9" ht="13.5" customHeight="1">
      <c r="A33" s="755"/>
      <c r="B33" s="31"/>
      <c r="C33" s="31"/>
      <c r="D33" s="31"/>
      <c r="F33" s="931" t="s">
        <v>1036</v>
      </c>
      <c r="G33" s="1669" t="s">
        <v>521</v>
      </c>
      <c r="H33" s="1670"/>
      <c r="I33" s="1670"/>
    </row>
    <row r="34" spans="1:9" ht="12.4" customHeight="1">
      <c r="A34" s="408"/>
      <c r="B34" s="359"/>
      <c r="C34" s="359"/>
      <c r="D34" s="359"/>
      <c r="E34" s="502"/>
      <c r="F34" s="932"/>
      <c r="G34" s="1671"/>
      <c r="H34" s="1671"/>
      <c r="I34" s="1671"/>
    </row>
    <row r="35" spans="1:9" ht="15" customHeight="1">
      <c r="A35" s="408"/>
      <c r="B35" s="359"/>
      <c r="C35" s="359"/>
      <c r="D35" s="359"/>
      <c r="E35" s="359"/>
      <c r="G35" s="22"/>
      <c r="H35" s="22"/>
      <c r="I35" s="22"/>
    </row>
    <row r="36" spans="1:9" ht="12.4" customHeight="1">
      <c r="A36" s="408"/>
      <c r="B36" s="359"/>
      <c r="C36" s="359"/>
      <c r="D36" s="359"/>
      <c r="E36" s="359"/>
      <c r="F36" s="503"/>
      <c r="G36" s="503"/>
      <c r="H36" s="503"/>
      <c r="I36" s="359"/>
    </row>
    <row r="37" spans="1:9" ht="12.4" customHeight="1">
      <c r="A37" s="408"/>
      <c r="B37" s="359"/>
      <c r="C37" s="359"/>
      <c r="D37" s="359"/>
      <c r="E37" s="359"/>
    </row>
    <row r="38" spans="1:9" ht="12.4" customHeight="1">
      <c r="A38" s="408"/>
      <c r="B38" s="359"/>
      <c r="C38" s="359"/>
      <c r="D38" s="359"/>
      <c r="E38" s="359"/>
    </row>
    <row r="39" spans="1:9" ht="12.4" customHeight="1">
      <c r="A39" s="408"/>
      <c r="B39" s="359"/>
      <c r="C39" s="359"/>
      <c r="D39" s="359"/>
      <c r="E39" s="359"/>
      <c r="F39" s="359"/>
      <c r="G39" s="359"/>
      <c r="H39" s="359"/>
      <c r="I39" s="359"/>
    </row>
  </sheetData>
  <mergeCells count="4">
    <mergeCell ref="G33:I34"/>
    <mergeCell ref="A1:I1"/>
    <mergeCell ref="A2:I2"/>
    <mergeCell ref="B11:I11"/>
  </mergeCells>
  <phoneticPr fontId="0" type="noConversion"/>
  <conditionalFormatting sqref="A1:XFD1048576">
    <cfRule type="cellIs" dxfId="6" priority="1" stopIfTrue="1" operator="equal">
      <formula>".."</formula>
    </cfRule>
  </conditionalFormatting>
  <printOptions horizontalCentered="1"/>
  <pageMargins left="0.1" right="0.1" top="0.77" bottom="0.1" header="0.5" footer="0.1"/>
  <pageSetup paperSize="9" orientation="portrait" blackAndWhite="1" r:id="rId1"/>
  <headerFooter alignWithMargins="0"/>
  <legacyDrawing r:id="rId2"/>
  <oleObjects>
    <oleObject progId="Word.Document.8" shapeId="31745" r:id="rId3"/>
  </oleObjects>
</worksheet>
</file>

<file path=xl/worksheets/sheet51.xml><?xml version="1.0" encoding="utf-8"?>
<worksheet xmlns="http://schemas.openxmlformats.org/spreadsheetml/2006/main" xmlns:r="http://schemas.openxmlformats.org/officeDocument/2006/relationships">
  <sheetPr codeName="Sheet54"/>
  <dimension ref="A1:J48"/>
  <sheetViews>
    <sheetView topLeftCell="A40" workbookViewId="0">
      <selection activeCell="A48" sqref="A48:G48"/>
    </sheetView>
  </sheetViews>
  <sheetFormatPr defaultRowHeight="12.75"/>
  <cols>
    <col min="1" max="1" width="2.85546875" customWidth="1"/>
    <col min="2" max="4" width="13.7109375" customWidth="1"/>
    <col min="5" max="5" width="13.5703125" customWidth="1"/>
    <col min="6" max="7" width="13.7109375" customWidth="1"/>
  </cols>
  <sheetData>
    <row r="1" spans="1:10" ht="18.75" customHeight="1">
      <c r="A1" s="1286" t="s">
        <v>443</v>
      </c>
      <c r="B1" s="1286"/>
      <c r="C1" s="1286"/>
      <c r="D1" s="1286"/>
      <c r="E1" s="1286"/>
      <c r="F1" s="1286"/>
      <c r="G1" s="1286"/>
    </row>
    <row r="2" spans="1:10" ht="18" customHeight="1">
      <c r="A2" s="1287" t="str">
        <f>CONCATENATE("Progress of Co-operative Movement in the district of ",District!A1)</f>
        <v>Progress of Co-operative Movement in the district of Jalpaiguri</v>
      </c>
      <c r="B2" s="1287"/>
      <c r="C2" s="1287"/>
      <c r="D2" s="1287"/>
      <c r="E2" s="1287"/>
      <c r="F2" s="1287"/>
      <c r="G2" s="1287"/>
    </row>
    <row r="3" spans="1:10" ht="14.25" customHeight="1">
      <c r="A3" s="1379" t="s">
        <v>1248</v>
      </c>
      <c r="B3" s="1425"/>
      <c r="C3" s="1445" t="s">
        <v>1502</v>
      </c>
      <c r="D3" s="1446"/>
      <c r="E3" s="1425" t="s">
        <v>1513</v>
      </c>
      <c r="F3" s="1299" t="s">
        <v>1249</v>
      </c>
      <c r="G3" s="1380" t="s">
        <v>1250</v>
      </c>
    </row>
    <row r="4" spans="1:10" ht="60.75" customHeight="1">
      <c r="A4" s="1426"/>
      <c r="B4" s="1427"/>
      <c r="C4" s="325" t="s">
        <v>233</v>
      </c>
      <c r="D4" s="247" t="s">
        <v>236</v>
      </c>
      <c r="E4" s="1427"/>
      <c r="F4" s="1398"/>
      <c r="G4" s="1428"/>
    </row>
    <row r="5" spans="1:10">
      <c r="A5" s="1364" t="s">
        <v>278</v>
      </c>
      <c r="B5" s="1672"/>
      <c r="C5" s="57" t="s">
        <v>279</v>
      </c>
      <c r="D5" s="58" t="s">
        <v>280</v>
      </c>
      <c r="E5" s="88" t="s">
        <v>281</v>
      </c>
      <c r="F5" s="137" t="s">
        <v>282</v>
      </c>
      <c r="G5" s="94" t="s">
        <v>283</v>
      </c>
    </row>
    <row r="6" spans="1:10" ht="15" customHeight="1">
      <c r="A6" s="277">
        <v>1</v>
      </c>
      <c r="B6" s="278" t="s">
        <v>1097</v>
      </c>
      <c r="C6" s="304"/>
      <c r="D6" s="476"/>
      <c r="E6" s="392"/>
      <c r="F6" s="304"/>
      <c r="G6" s="48"/>
    </row>
    <row r="7" spans="1:10" ht="15" customHeight="1">
      <c r="A7" s="302"/>
      <c r="B7" s="1063" t="s">
        <v>1110</v>
      </c>
      <c r="C7" s="1064">
        <v>1</v>
      </c>
      <c r="D7" s="1065">
        <v>594</v>
      </c>
      <c r="E7" s="1066">
        <v>1002691</v>
      </c>
      <c r="F7" s="1067">
        <v>299317</v>
      </c>
      <c r="G7" s="1065">
        <v>215508</v>
      </c>
    </row>
    <row r="8" spans="1:10" ht="15" customHeight="1">
      <c r="A8" s="302"/>
      <c r="B8" s="1063" t="s">
        <v>1111</v>
      </c>
      <c r="C8" s="1064">
        <v>1</v>
      </c>
      <c r="D8" s="1066">
        <v>594</v>
      </c>
      <c r="E8" s="1064">
        <v>1003391</v>
      </c>
      <c r="F8" s="1068">
        <v>322262</v>
      </c>
      <c r="G8" s="1064">
        <v>232767</v>
      </c>
    </row>
    <row r="9" spans="1:10" ht="15" customHeight="1">
      <c r="A9" s="302"/>
      <c r="B9" s="1063" t="s">
        <v>641</v>
      </c>
      <c r="C9" s="1064">
        <v>1</v>
      </c>
      <c r="D9" s="1065">
        <v>754</v>
      </c>
      <c r="E9" s="1066">
        <v>1023462</v>
      </c>
      <c r="F9" s="1067">
        <v>323861</v>
      </c>
      <c r="G9" s="1065">
        <v>233187</v>
      </c>
    </row>
    <row r="10" spans="1:10" s="6" customFormat="1" ht="15" customHeight="1">
      <c r="A10" s="750"/>
      <c r="B10" s="1063" t="s">
        <v>909</v>
      </c>
      <c r="C10" s="1064">
        <v>1</v>
      </c>
      <c r="D10" s="1065">
        <v>758</v>
      </c>
      <c r="E10" s="1066">
        <v>1074601</v>
      </c>
      <c r="F10" s="1067">
        <v>566853</v>
      </c>
      <c r="G10" s="1065">
        <v>295488</v>
      </c>
    </row>
    <row r="11" spans="1:10" ht="15" customHeight="1">
      <c r="A11" s="302"/>
      <c r="B11" s="1063" t="s">
        <v>895</v>
      </c>
      <c r="C11" s="1064">
        <v>1</v>
      </c>
      <c r="D11" s="1065">
        <v>758</v>
      </c>
      <c r="E11" s="1066">
        <v>2875615</v>
      </c>
      <c r="F11" s="1067">
        <v>1736333</v>
      </c>
      <c r="G11" s="1065">
        <v>730127</v>
      </c>
    </row>
    <row r="12" spans="1:10" ht="15" customHeight="1">
      <c r="A12" s="277">
        <v>2</v>
      </c>
      <c r="B12" s="531" t="s">
        <v>1028</v>
      </c>
      <c r="C12" s="547"/>
      <c r="D12" s="534"/>
      <c r="E12" s="31"/>
      <c r="F12" s="52"/>
      <c r="G12" s="48"/>
    </row>
    <row r="13" spans="1:10" ht="15" customHeight="1">
      <c r="A13" s="302"/>
      <c r="B13" s="1063" t="s">
        <v>1110</v>
      </c>
      <c r="C13" s="1064">
        <v>2</v>
      </c>
      <c r="D13" s="1065">
        <v>21029</v>
      </c>
      <c r="E13" s="1066">
        <v>377579</v>
      </c>
      <c r="F13" s="1067">
        <v>158141</v>
      </c>
      <c r="G13" s="1065">
        <v>87830</v>
      </c>
      <c r="H13" s="504"/>
      <c r="I13" s="210"/>
      <c r="J13" s="504"/>
    </row>
    <row r="14" spans="1:10" ht="15" customHeight="1">
      <c r="A14" s="302"/>
      <c r="B14" s="1063" t="s">
        <v>1111</v>
      </c>
      <c r="C14" s="1064">
        <v>2</v>
      </c>
      <c r="D14" s="1065">
        <v>28444</v>
      </c>
      <c r="E14" s="1066">
        <v>736407</v>
      </c>
      <c r="F14" s="1067">
        <v>570495</v>
      </c>
      <c r="G14" s="1065">
        <v>157543</v>
      </c>
    </row>
    <row r="15" spans="1:10" ht="15" customHeight="1">
      <c r="A15" s="302"/>
      <c r="B15" s="1063" t="s">
        <v>641</v>
      </c>
      <c r="C15" s="1064">
        <v>2</v>
      </c>
      <c r="D15" s="1065">
        <v>31249</v>
      </c>
      <c r="E15" s="1066">
        <v>745733</v>
      </c>
      <c r="F15" s="1067">
        <v>585913</v>
      </c>
      <c r="G15" s="1065">
        <v>199604</v>
      </c>
    </row>
    <row r="16" spans="1:10" s="6" customFormat="1" ht="15" customHeight="1">
      <c r="A16" s="750"/>
      <c r="B16" s="1063" t="s">
        <v>909</v>
      </c>
      <c r="C16" s="1064">
        <v>2</v>
      </c>
      <c r="D16" s="1065">
        <v>31249</v>
      </c>
      <c r="E16" s="1066">
        <v>763093</v>
      </c>
      <c r="F16" s="1067">
        <v>917111</v>
      </c>
      <c r="G16" s="1065">
        <v>197777</v>
      </c>
    </row>
    <row r="17" spans="1:7" ht="15" customHeight="1">
      <c r="A17" s="302"/>
      <c r="B17" s="1063" t="s">
        <v>895</v>
      </c>
      <c r="C17" s="1064">
        <v>2</v>
      </c>
      <c r="D17" s="1065">
        <v>21712</v>
      </c>
      <c r="E17" s="1066">
        <v>1271109</v>
      </c>
      <c r="F17" s="1067">
        <v>844288</v>
      </c>
      <c r="G17" s="1065">
        <v>144706</v>
      </c>
    </row>
    <row r="18" spans="1:7" ht="15" customHeight="1">
      <c r="A18" s="277">
        <v>3</v>
      </c>
      <c r="B18" s="531" t="s">
        <v>1489</v>
      </c>
      <c r="C18" s="547"/>
      <c r="D18" s="534"/>
      <c r="E18" s="31"/>
      <c r="F18" s="52"/>
      <c r="G18" s="48"/>
    </row>
    <row r="19" spans="1:7" ht="15" customHeight="1">
      <c r="A19" s="302"/>
      <c r="B19" s="1063" t="s">
        <v>1110</v>
      </c>
      <c r="C19" s="1064">
        <v>228</v>
      </c>
      <c r="D19" s="1065">
        <v>118546</v>
      </c>
      <c r="E19" s="1066">
        <v>441948</v>
      </c>
      <c r="F19" s="1067">
        <v>380244</v>
      </c>
      <c r="G19" s="1065">
        <v>198118</v>
      </c>
    </row>
    <row r="20" spans="1:7" ht="15" customHeight="1">
      <c r="A20" s="302"/>
      <c r="B20" s="1063" t="s">
        <v>1111</v>
      </c>
      <c r="C20" s="1064">
        <v>228</v>
      </c>
      <c r="D20" s="1065">
        <v>112595</v>
      </c>
      <c r="E20" s="1066">
        <v>448078</v>
      </c>
      <c r="F20" s="1067">
        <v>379642</v>
      </c>
      <c r="G20" s="1065">
        <v>206103</v>
      </c>
    </row>
    <row r="21" spans="1:7" ht="15" customHeight="1">
      <c r="A21" s="302"/>
      <c r="B21" s="1063" t="s">
        <v>641</v>
      </c>
      <c r="C21" s="1064">
        <v>228</v>
      </c>
      <c r="D21" s="1065">
        <v>112710</v>
      </c>
      <c r="E21" s="1066">
        <v>453062</v>
      </c>
      <c r="F21" s="1067">
        <v>446695</v>
      </c>
      <c r="G21" s="1065">
        <v>200839</v>
      </c>
    </row>
    <row r="22" spans="1:7" s="6" customFormat="1" ht="15" customHeight="1">
      <c r="A22" s="750"/>
      <c r="B22" s="1063" t="s">
        <v>909</v>
      </c>
      <c r="C22" s="1064">
        <v>231</v>
      </c>
      <c r="D22" s="1065">
        <v>112910</v>
      </c>
      <c r="E22" s="1066">
        <v>457543</v>
      </c>
      <c r="F22" s="1067">
        <v>451162</v>
      </c>
      <c r="G22" s="1065">
        <v>201063</v>
      </c>
    </row>
    <row r="23" spans="1:7" ht="15" customHeight="1">
      <c r="A23" s="302"/>
      <c r="B23" s="1063" t="s">
        <v>895</v>
      </c>
      <c r="C23" s="1064">
        <v>241</v>
      </c>
      <c r="D23" s="1065">
        <v>120058</v>
      </c>
      <c r="E23" s="1066">
        <v>532247</v>
      </c>
      <c r="F23" s="1067">
        <v>679116</v>
      </c>
      <c r="G23" s="1065">
        <v>525992</v>
      </c>
    </row>
    <row r="24" spans="1:7" ht="15" customHeight="1">
      <c r="A24" s="277">
        <v>4</v>
      </c>
      <c r="B24" s="531" t="s">
        <v>1490</v>
      </c>
      <c r="C24" s="547"/>
      <c r="D24" s="534"/>
      <c r="E24" s="531"/>
      <c r="F24" s="52"/>
      <c r="G24" s="48"/>
    </row>
    <row r="25" spans="1:7" ht="15" customHeight="1">
      <c r="A25" s="302"/>
      <c r="B25" s="1063" t="s">
        <v>1110</v>
      </c>
      <c r="C25" s="1064">
        <v>231</v>
      </c>
      <c r="D25" s="1065">
        <v>24668</v>
      </c>
      <c r="E25" s="1066">
        <v>434870</v>
      </c>
      <c r="F25" s="1067">
        <v>261676</v>
      </c>
      <c r="G25" s="1065">
        <v>116911</v>
      </c>
    </row>
    <row r="26" spans="1:7" ht="15" customHeight="1">
      <c r="A26" s="302"/>
      <c r="B26" s="1063" t="s">
        <v>1111</v>
      </c>
      <c r="C26" s="1064">
        <v>261</v>
      </c>
      <c r="D26" s="1065">
        <v>24763</v>
      </c>
      <c r="E26" s="1066">
        <v>435268</v>
      </c>
      <c r="F26" s="1067">
        <v>253894</v>
      </c>
      <c r="G26" s="1065">
        <v>120218</v>
      </c>
    </row>
    <row r="27" spans="1:7" ht="15" customHeight="1">
      <c r="A27" s="302"/>
      <c r="B27" s="1063" t="s">
        <v>641</v>
      </c>
      <c r="C27" s="1064">
        <v>232</v>
      </c>
      <c r="D27" s="1065">
        <v>24835</v>
      </c>
      <c r="E27" s="1066">
        <v>436211</v>
      </c>
      <c r="F27" s="1067">
        <v>276658</v>
      </c>
      <c r="G27" s="1065">
        <v>122693</v>
      </c>
    </row>
    <row r="28" spans="1:7" s="6" customFormat="1" ht="15" customHeight="1">
      <c r="A28" s="750"/>
      <c r="B28" s="1063" t="s">
        <v>909</v>
      </c>
      <c r="C28" s="1064">
        <v>232</v>
      </c>
      <c r="D28" s="1065">
        <v>25159</v>
      </c>
      <c r="E28" s="1066">
        <v>440573</v>
      </c>
      <c r="F28" s="1067">
        <v>245371</v>
      </c>
      <c r="G28" s="1065">
        <v>106500</v>
      </c>
    </row>
    <row r="29" spans="1:7" ht="15" customHeight="1">
      <c r="A29" s="302"/>
      <c r="B29" s="1063" t="s">
        <v>895</v>
      </c>
      <c r="C29" s="1064">
        <v>180</v>
      </c>
      <c r="D29" s="1065">
        <v>25829</v>
      </c>
      <c r="E29" s="1066">
        <v>793677</v>
      </c>
      <c r="F29" s="1067">
        <v>455061</v>
      </c>
      <c r="G29" s="1065">
        <v>463595</v>
      </c>
    </row>
    <row r="30" spans="1:7" ht="15" customHeight="1">
      <c r="A30" s="277">
        <v>5</v>
      </c>
      <c r="B30" s="531" t="s">
        <v>1103</v>
      </c>
      <c r="C30" s="547"/>
      <c r="D30" s="534"/>
      <c r="E30" s="531"/>
      <c r="F30" s="52"/>
      <c r="G30" s="48"/>
    </row>
    <row r="31" spans="1:7" ht="15" customHeight="1">
      <c r="A31" s="302"/>
      <c r="B31" s="1071" t="s">
        <v>1110</v>
      </c>
      <c r="C31" s="1069">
        <f t="shared" ref="C31:G32" si="0">C7+C13+C19+C25</f>
        <v>462</v>
      </c>
      <c r="D31" s="1069">
        <f>D7+D13+D19+D25</f>
        <v>164837</v>
      </c>
      <c r="E31" s="1069">
        <f t="shared" si="0"/>
        <v>2257088</v>
      </c>
      <c r="F31" s="1069">
        <f t="shared" si="0"/>
        <v>1099378</v>
      </c>
      <c r="G31" s="1069">
        <f t="shared" si="0"/>
        <v>618367</v>
      </c>
    </row>
    <row r="32" spans="1:7" ht="15" customHeight="1">
      <c r="A32" s="302"/>
      <c r="B32" s="1071" t="s">
        <v>1111</v>
      </c>
      <c r="C32" s="1069">
        <f t="shared" si="0"/>
        <v>492</v>
      </c>
      <c r="D32" s="1069">
        <f t="shared" si="0"/>
        <v>166396</v>
      </c>
      <c r="E32" s="1069">
        <f t="shared" si="0"/>
        <v>2623144</v>
      </c>
      <c r="F32" s="1069">
        <f t="shared" si="0"/>
        <v>1526293</v>
      </c>
      <c r="G32" s="1069">
        <f t="shared" si="0"/>
        <v>716631</v>
      </c>
    </row>
    <row r="33" spans="1:7" ht="15" customHeight="1">
      <c r="A33" s="302"/>
      <c r="B33" s="1071" t="s">
        <v>641</v>
      </c>
      <c r="C33" s="1069">
        <f t="shared" ref="C33:G35" si="1">C9+C15+C21+C27</f>
        <v>463</v>
      </c>
      <c r="D33" s="1070">
        <f t="shared" si="1"/>
        <v>169548</v>
      </c>
      <c r="E33" s="1071">
        <f t="shared" si="1"/>
        <v>2658468</v>
      </c>
      <c r="F33" s="1069">
        <f t="shared" si="1"/>
        <v>1633127</v>
      </c>
      <c r="G33" s="1070">
        <f t="shared" si="1"/>
        <v>756323</v>
      </c>
    </row>
    <row r="34" spans="1:7" s="6" customFormat="1" ht="15" customHeight="1">
      <c r="A34" s="750"/>
      <c r="B34" s="1071" t="s">
        <v>909</v>
      </c>
      <c r="C34" s="1069">
        <f t="shared" si="1"/>
        <v>466</v>
      </c>
      <c r="D34" s="1070">
        <f t="shared" si="1"/>
        <v>170076</v>
      </c>
      <c r="E34" s="1071">
        <f t="shared" si="1"/>
        <v>2735810</v>
      </c>
      <c r="F34" s="1069">
        <f t="shared" si="1"/>
        <v>2180497</v>
      </c>
      <c r="G34" s="1070">
        <f t="shared" si="1"/>
        <v>800828</v>
      </c>
    </row>
    <row r="35" spans="1:7" ht="15" customHeight="1">
      <c r="A35" s="302"/>
      <c r="B35" s="1063" t="s">
        <v>895</v>
      </c>
      <c r="C35" s="1069">
        <f t="shared" si="1"/>
        <v>424</v>
      </c>
      <c r="D35" s="1069">
        <f t="shared" si="1"/>
        <v>168357</v>
      </c>
      <c r="E35" s="1069">
        <f t="shared" si="1"/>
        <v>5472648</v>
      </c>
      <c r="F35" s="1069">
        <f t="shared" si="1"/>
        <v>3714798</v>
      </c>
      <c r="G35" s="1069">
        <f t="shared" si="1"/>
        <v>1864420</v>
      </c>
    </row>
    <row r="36" spans="1:7" ht="15" customHeight="1">
      <c r="A36" s="277">
        <v>6</v>
      </c>
      <c r="B36" s="531" t="s">
        <v>1029</v>
      </c>
      <c r="C36" s="547"/>
      <c r="D36" s="48"/>
      <c r="E36" s="31"/>
      <c r="F36" s="52"/>
      <c r="G36" s="48"/>
    </row>
    <row r="37" spans="1:7" ht="15" customHeight="1">
      <c r="A37" s="302"/>
      <c r="B37" s="1071" t="s">
        <v>1110</v>
      </c>
      <c r="C37" s="1067">
        <v>565</v>
      </c>
      <c r="D37" s="1072">
        <v>35116</v>
      </c>
      <c r="E37" s="1068">
        <v>310998</v>
      </c>
      <c r="F37" s="1073" t="s">
        <v>570</v>
      </c>
      <c r="G37" s="1074" t="s">
        <v>570</v>
      </c>
    </row>
    <row r="38" spans="1:7" ht="15" customHeight="1">
      <c r="A38" s="302"/>
      <c r="B38" s="1071" t="s">
        <v>1111</v>
      </c>
      <c r="C38" s="1067">
        <v>571</v>
      </c>
      <c r="D38" s="1072">
        <v>35293</v>
      </c>
      <c r="E38" s="1068">
        <v>311463</v>
      </c>
      <c r="F38" s="1067" t="s">
        <v>570</v>
      </c>
      <c r="G38" s="1072" t="s">
        <v>570</v>
      </c>
    </row>
    <row r="39" spans="1:7" ht="15" customHeight="1">
      <c r="A39" s="302"/>
      <c r="B39" s="1071" t="s">
        <v>641</v>
      </c>
      <c r="C39" s="1067">
        <v>572</v>
      </c>
      <c r="D39" s="1072">
        <v>35408</v>
      </c>
      <c r="E39" s="1068">
        <v>312395</v>
      </c>
      <c r="F39" s="1067" t="s">
        <v>570</v>
      </c>
      <c r="G39" s="1072" t="s">
        <v>570</v>
      </c>
    </row>
    <row r="40" spans="1:7" s="6" customFormat="1" ht="15" customHeight="1">
      <c r="A40" s="750"/>
      <c r="B40" s="1071" t="s">
        <v>909</v>
      </c>
      <c r="C40" s="1067">
        <v>576</v>
      </c>
      <c r="D40" s="1072">
        <v>35891</v>
      </c>
      <c r="E40" s="1068">
        <v>313379</v>
      </c>
      <c r="F40" s="1075" t="s">
        <v>570</v>
      </c>
      <c r="G40" s="1076" t="s">
        <v>570</v>
      </c>
    </row>
    <row r="41" spans="1:7" ht="15" customHeight="1">
      <c r="A41" s="302"/>
      <c r="B41" s="1063" t="s">
        <v>895</v>
      </c>
      <c r="C41" s="1067">
        <v>469</v>
      </c>
      <c r="D41" s="1072">
        <v>34678</v>
      </c>
      <c r="E41" s="1068">
        <v>412121</v>
      </c>
      <c r="F41" s="1075" t="s">
        <v>570</v>
      </c>
      <c r="G41" s="1076" t="s">
        <v>570</v>
      </c>
    </row>
    <row r="42" spans="1:7" ht="15" customHeight="1">
      <c r="A42" s="277">
        <v>7</v>
      </c>
      <c r="B42" s="531" t="s">
        <v>1104</v>
      </c>
      <c r="C42" s="547"/>
      <c r="D42" s="534"/>
      <c r="E42" s="531"/>
      <c r="F42" s="52"/>
      <c r="G42" s="48"/>
    </row>
    <row r="43" spans="1:7" ht="15" customHeight="1">
      <c r="A43" s="302"/>
      <c r="B43" s="1070" t="s">
        <v>1110</v>
      </c>
      <c r="C43" s="1069">
        <f t="shared" ref="C43:E44" si="2">C31+C37</f>
        <v>1027</v>
      </c>
      <c r="D43" s="1069">
        <f t="shared" si="2"/>
        <v>199953</v>
      </c>
      <c r="E43" s="1069">
        <f t="shared" si="2"/>
        <v>2568086</v>
      </c>
      <c r="F43" s="1069">
        <f t="shared" ref="F43:G47" si="3">SUM(F31,F37)</f>
        <v>1099378</v>
      </c>
      <c r="G43" s="1069">
        <f t="shared" si="3"/>
        <v>618367</v>
      </c>
    </row>
    <row r="44" spans="1:7" ht="15" customHeight="1">
      <c r="A44" s="302"/>
      <c r="B44" s="1070" t="s">
        <v>1111</v>
      </c>
      <c r="C44" s="1069">
        <f t="shared" si="2"/>
        <v>1063</v>
      </c>
      <c r="D44" s="1069">
        <f t="shared" si="2"/>
        <v>201689</v>
      </c>
      <c r="E44" s="1069">
        <f t="shared" si="2"/>
        <v>2934607</v>
      </c>
      <c r="F44" s="1069">
        <f t="shared" si="3"/>
        <v>1526293</v>
      </c>
      <c r="G44" s="1069">
        <f t="shared" si="3"/>
        <v>716631</v>
      </c>
    </row>
    <row r="45" spans="1:7" ht="15" customHeight="1">
      <c r="A45" s="302"/>
      <c r="B45" s="1070" t="s">
        <v>641</v>
      </c>
      <c r="C45" s="1069">
        <f t="shared" ref="C45:E47" si="4">C33+C39</f>
        <v>1035</v>
      </c>
      <c r="D45" s="1070">
        <f t="shared" si="4"/>
        <v>204956</v>
      </c>
      <c r="E45" s="1071">
        <f t="shared" si="4"/>
        <v>2970863</v>
      </c>
      <c r="F45" s="1069">
        <f t="shared" si="3"/>
        <v>1633127</v>
      </c>
      <c r="G45" s="1069">
        <f t="shared" si="3"/>
        <v>756323</v>
      </c>
    </row>
    <row r="46" spans="1:7" s="6" customFormat="1" ht="15" customHeight="1">
      <c r="A46" s="750"/>
      <c r="B46" s="1070" t="s">
        <v>909</v>
      </c>
      <c r="C46" s="1069">
        <f t="shared" si="4"/>
        <v>1042</v>
      </c>
      <c r="D46" s="1070">
        <f t="shared" si="4"/>
        <v>205967</v>
      </c>
      <c r="E46" s="1070">
        <f t="shared" si="4"/>
        <v>3049189</v>
      </c>
      <c r="F46" s="1069">
        <f t="shared" si="3"/>
        <v>2180497</v>
      </c>
      <c r="G46" s="1069">
        <f t="shared" si="3"/>
        <v>800828</v>
      </c>
    </row>
    <row r="47" spans="1:7" ht="15" customHeight="1">
      <c r="A47" s="505"/>
      <c r="B47" s="1208" t="s">
        <v>895</v>
      </c>
      <c r="C47" s="1077">
        <f t="shared" si="4"/>
        <v>893</v>
      </c>
      <c r="D47" s="1078">
        <f t="shared" si="4"/>
        <v>203035</v>
      </c>
      <c r="E47" s="1078">
        <f t="shared" si="4"/>
        <v>5884769</v>
      </c>
      <c r="F47" s="1077">
        <f t="shared" si="3"/>
        <v>3714798</v>
      </c>
      <c r="G47" s="1077">
        <f t="shared" si="3"/>
        <v>1864420</v>
      </c>
    </row>
    <row r="48" spans="1:7">
      <c r="A48" s="1673" t="s">
        <v>659</v>
      </c>
      <c r="B48" s="1673"/>
      <c r="C48" s="1673"/>
      <c r="D48" s="1673"/>
      <c r="E48" s="1673"/>
      <c r="F48" s="1673"/>
      <c r="G48" s="1673"/>
    </row>
  </sheetData>
  <mergeCells count="9">
    <mergeCell ref="A5:B5"/>
    <mergeCell ref="A48:G48"/>
    <mergeCell ref="G3:G4"/>
    <mergeCell ref="A1:G1"/>
    <mergeCell ref="A2:G2"/>
    <mergeCell ref="E3:E4"/>
    <mergeCell ref="A3:B4"/>
    <mergeCell ref="C3:D3"/>
    <mergeCell ref="F3:F4"/>
  </mergeCells>
  <phoneticPr fontId="0" type="noConversion"/>
  <printOptions horizontalCentered="1"/>
  <pageMargins left="0.1" right="0.1" top="0.49" bottom="0.1" header="0.5" footer="0.1"/>
  <pageSetup paperSize="9" orientation="portrait" blackAndWhite="1" r:id="rId1"/>
  <headerFooter alignWithMargins="0"/>
</worksheet>
</file>

<file path=xl/worksheets/sheet52.xml><?xml version="1.0" encoding="utf-8"?>
<worksheet xmlns="http://schemas.openxmlformats.org/spreadsheetml/2006/main" xmlns:r="http://schemas.openxmlformats.org/officeDocument/2006/relationships">
  <sheetPr codeName="Sheet55" enableFormatConditionsCalculation="0"/>
  <dimension ref="A1:W31"/>
  <sheetViews>
    <sheetView topLeftCell="A16" workbookViewId="0">
      <selection activeCell="A29" sqref="A29"/>
    </sheetView>
  </sheetViews>
  <sheetFormatPr defaultRowHeight="12.75"/>
  <cols>
    <col min="1" max="1" width="10.85546875" customWidth="1"/>
    <col min="2" max="2" width="5.140625" customWidth="1"/>
    <col min="3" max="3" width="8" customWidth="1"/>
    <col min="4" max="4" width="8.7109375" customWidth="1"/>
    <col min="5" max="5" width="8.28515625" customWidth="1"/>
    <col min="6" max="6" width="4.85546875" customWidth="1"/>
    <col min="7" max="7" width="8.28515625" customWidth="1"/>
    <col min="9" max="9" width="7.85546875" customWidth="1"/>
    <col min="10" max="10" width="5.28515625" customWidth="1"/>
    <col min="11" max="11" width="8.28515625" bestFit="1" customWidth="1"/>
    <col min="13" max="13" width="8" customWidth="1"/>
    <col min="14" max="14" width="5" customWidth="1"/>
    <col min="15" max="15" width="8.28515625" bestFit="1" customWidth="1"/>
    <col min="16" max="16" width="9" bestFit="1" customWidth="1"/>
    <col min="17" max="17" width="8" customWidth="1"/>
    <col min="18" max="18" width="10" customWidth="1"/>
  </cols>
  <sheetData>
    <row r="1" spans="1:23" ht="12.75" customHeight="1">
      <c r="A1" s="1286" t="s">
        <v>444</v>
      </c>
      <c r="B1" s="1286"/>
      <c r="C1" s="1286"/>
      <c r="D1" s="1286"/>
      <c r="E1" s="1286"/>
      <c r="F1" s="1286"/>
      <c r="G1" s="1286"/>
      <c r="H1" s="1286"/>
      <c r="I1" s="1286"/>
      <c r="J1" s="1286"/>
      <c r="K1" s="1286"/>
      <c r="L1" s="1286"/>
      <c r="M1" s="1286"/>
      <c r="N1" s="1286"/>
      <c r="O1" s="1286"/>
      <c r="P1" s="1286"/>
      <c r="Q1" s="1286"/>
      <c r="R1" s="1286"/>
    </row>
    <row r="2" spans="1:23" ht="16.5">
      <c r="A2" s="1287" t="str">
        <f>CONCATENATE("Progress of Commercial Banking in the district of ",District!A1)</f>
        <v>Progress of Commercial Banking in the district of Jalpaiguri</v>
      </c>
      <c r="B2" s="1287"/>
      <c r="C2" s="1287"/>
      <c r="D2" s="1287"/>
      <c r="E2" s="1287"/>
      <c r="F2" s="1287"/>
      <c r="G2" s="1287"/>
      <c r="H2" s="1287"/>
      <c r="I2" s="1287"/>
      <c r="J2" s="1287"/>
      <c r="K2" s="1287"/>
      <c r="L2" s="1287"/>
      <c r="M2" s="1287"/>
      <c r="N2" s="1287"/>
      <c r="O2" s="1287"/>
      <c r="P2" s="1287"/>
      <c r="Q2" s="1287"/>
      <c r="R2" s="1287"/>
    </row>
    <row r="3" spans="1:23">
      <c r="A3" s="359"/>
      <c r="B3" s="405"/>
      <c r="C3" s="405"/>
      <c r="D3" s="405"/>
      <c r="E3" s="405"/>
      <c r="F3" s="405"/>
      <c r="G3" s="405"/>
      <c r="H3" s="405"/>
      <c r="I3" s="405"/>
      <c r="J3" s="405"/>
      <c r="K3" s="405"/>
      <c r="L3" s="405"/>
      <c r="M3" s="405"/>
      <c r="N3" s="405"/>
      <c r="O3" s="405"/>
      <c r="P3" s="405"/>
      <c r="Q3" s="407"/>
      <c r="R3" s="407"/>
    </row>
    <row r="4" spans="1:23" ht="15.75" customHeight="1">
      <c r="A4" s="1299" t="s">
        <v>1105</v>
      </c>
      <c r="B4" s="1444" t="s">
        <v>335</v>
      </c>
      <c r="C4" s="1444"/>
      <c r="D4" s="1444"/>
      <c r="E4" s="1446"/>
      <c r="F4" s="1445" t="s">
        <v>833</v>
      </c>
      <c r="G4" s="1444"/>
      <c r="H4" s="1444"/>
      <c r="I4" s="1446"/>
      <c r="J4" s="1444" t="s">
        <v>1107</v>
      </c>
      <c r="K4" s="1444"/>
      <c r="L4" s="1444"/>
      <c r="M4" s="1444"/>
      <c r="N4" s="1445" t="s">
        <v>300</v>
      </c>
      <c r="O4" s="1444"/>
      <c r="P4" s="1444"/>
      <c r="Q4" s="1444"/>
      <c r="R4" s="1299" t="s">
        <v>1562</v>
      </c>
    </row>
    <row r="5" spans="1:23" ht="51.75" customHeight="1">
      <c r="A5" s="1398"/>
      <c r="B5" s="632" t="s">
        <v>1254</v>
      </c>
      <c r="C5" s="674" t="s">
        <v>1251</v>
      </c>
      <c r="D5" s="674" t="s">
        <v>1252</v>
      </c>
      <c r="E5" s="632" t="s">
        <v>1253</v>
      </c>
      <c r="F5" s="998" t="s">
        <v>1254</v>
      </c>
      <c r="G5" s="674" t="s">
        <v>1251</v>
      </c>
      <c r="H5" s="674" t="s">
        <v>1252</v>
      </c>
      <c r="I5" s="632" t="s">
        <v>1253</v>
      </c>
      <c r="J5" s="998" t="s">
        <v>1254</v>
      </c>
      <c r="K5" s="674" t="s">
        <v>1251</v>
      </c>
      <c r="L5" s="674" t="s">
        <v>1252</v>
      </c>
      <c r="M5" s="632" t="s">
        <v>1253</v>
      </c>
      <c r="N5" s="998" t="s">
        <v>1254</v>
      </c>
      <c r="O5" s="674" t="s">
        <v>1251</v>
      </c>
      <c r="P5" s="674" t="s">
        <v>1252</v>
      </c>
      <c r="Q5" s="632" t="s">
        <v>1253</v>
      </c>
      <c r="R5" s="1302"/>
    </row>
    <row r="6" spans="1:23" ht="13.5" customHeight="1">
      <c r="A6" s="506" t="s">
        <v>1083</v>
      </c>
      <c r="B6" s="507" t="s">
        <v>279</v>
      </c>
      <c r="C6" s="508" t="s">
        <v>280</v>
      </c>
      <c r="D6" s="1105" t="s">
        <v>281</v>
      </c>
      <c r="E6" s="95" t="s">
        <v>282</v>
      </c>
      <c r="F6" s="95" t="s">
        <v>283</v>
      </c>
      <c r="G6" s="508" t="s">
        <v>284</v>
      </c>
      <c r="H6" s="508" t="s">
        <v>301</v>
      </c>
      <c r="I6" s="94" t="s">
        <v>302</v>
      </c>
      <c r="J6" s="507" t="s">
        <v>303</v>
      </c>
      <c r="K6" s="508" t="s">
        <v>304</v>
      </c>
      <c r="L6" s="508" t="s">
        <v>344</v>
      </c>
      <c r="M6" s="509" t="s">
        <v>345</v>
      </c>
      <c r="N6" s="510" t="s">
        <v>346</v>
      </c>
      <c r="O6" s="508" t="s">
        <v>347</v>
      </c>
      <c r="P6" s="508" t="s">
        <v>348</v>
      </c>
      <c r="Q6" s="509" t="s">
        <v>349</v>
      </c>
      <c r="R6" s="508" t="s">
        <v>351</v>
      </c>
    </row>
    <row r="7" spans="1:23" ht="19.5" customHeight="1">
      <c r="A7" s="982">
        <v>2010</v>
      </c>
      <c r="B7" s="1236">
        <v>91</v>
      </c>
      <c r="C7" s="1237">
        <v>1160</v>
      </c>
      <c r="D7" s="1236">
        <v>567</v>
      </c>
      <c r="E7" s="1237">
        <v>48.88</v>
      </c>
      <c r="F7" s="1236">
        <v>35</v>
      </c>
      <c r="G7" s="1237">
        <v>1099</v>
      </c>
      <c r="H7" s="1236">
        <v>338</v>
      </c>
      <c r="I7" s="1237">
        <v>30.76</v>
      </c>
      <c r="J7" s="1236">
        <v>30</v>
      </c>
      <c r="K7" s="1237">
        <v>1231</v>
      </c>
      <c r="L7" s="1236">
        <v>404</v>
      </c>
      <c r="M7" s="1238">
        <v>32.799999999999997</v>
      </c>
      <c r="N7" s="1229">
        <f>SUM(B7,F7,J7)</f>
        <v>156</v>
      </c>
      <c r="O7" s="52">
        <v>3490</v>
      </c>
      <c r="P7" s="1229">
        <v>1309</v>
      </c>
      <c r="Q7" s="1238">
        <v>37.5</v>
      </c>
      <c r="R7" s="815" t="s">
        <v>1563</v>
      </c>
    </row>
    <row r="8" spans="1:23" ht="19.5" customHeight="1">
      <c r="A8" s="668">
        <v>2011</v>
      </c>
      <c r="B8" s="225">
        <v>92</v>
      </c>
      <c r="C8" s="227">
        <v>1246</v>
      </c>
      <c r="D8" s="225">
        <v>996</v>
      </c>
      <c r="E8" s="227">
        <v>79.900000000000006</v>
      </c>
      <c r="F8" s="225">
        <v>40</v>
      </c>
      <c r="G8" s="227">
        <v>1466</v>
      </c>
      <c r="H8" s="225">
        <v>369</v>
      </c>
      <c r="I8" s="227">
        <v>25.2</v>
      </c>
      <c r="J8" s="225">
        <v>30</v>
      </c>
      <c r="K8" s="227">
        <v>1421</v>
      </c>
      <c r="L8" s="225">
        <v>441</v>
      </c>
      <c r="M8" s="438">
        <v>31.1</v>
      </c>
      <c r="N8" s="31">
        <v>162</v>
      </c>
      <c r="O8" s="52">
        <v>4133</v>
      </c>
      <c r="P8" s="31">
        <v>1807</v>
      </c>
      <c r="Q8" s="438">
        <v>43.7</v>
      </c>
      <c r="R8" s="554">
        <f>ROUND('2.2,2.3'!$E$26/1000/'7.2,7.3'!N8,0)</f>
        <v>24</v>
      </c>
    </row>
    <row r="9" spans="1:23" ht="19.5" customHeight="1">
      <c r="A9" s="982">
        <v>2012</v>
      </c>
      <c r="B9" s="225">
        <v>92</v>
      </c>
      <c r="C9" s="227">
        <v>1453</v>
      </c>
      <c r="D9" s="225">
        <v>885</v>
      </c>
      <c r="E9" s="227">
        <v>60.91</v>
      </c>
      <c r="F9" s="225">
        <v>53</v>
      </c>
      <c r="G9" s="227">
        <v>1687</v>
      </c>
      <c r="H9" s="225">
        <v>414</v>
      </c>
      <c r="I9" s="438">
        <v>24.54</v>
      </c>
      <c r="J9" s="225">
        <v>33</v>
      </c>
      <c r="K9" s="227">
        <v>1744</v>
      </c>
      <c r="L9" s="225">
        <v>481</v>
      </c>
      <c r="M9" s="438">
        <v>27.58</v>
      </c>
      <c r="N9" s="31">
        <v>178</v>
      </c>
      <c r="O9" s="52">
        <v>4884</v>
      </c>
      <c r="P9" s="31">
        <v>1780</v>
      </c>
      <c r="Q9" s="438">
        <v>36.450000000000003</v>
      </c>
      <c r="R9" s="227">
        <f>ROUND('2.2,2.3'!$E$26/1000/'7.2,7.3'!N9,0)</f>
        <v>22</v>
      </c>
    </row>
    <row r="10" spans="1:23" ht="19.5" customHeight="1">
      <c r="A10" s="982">
        <v>2013</v>
      </c>
      <c r="B10" s="225">
        <v>93</v>
      </c>
      <c r="C10" s="227">
        <v>2741</v>
      </c>
      <c r="D10" s="225">
        <v>670</v>
      </c>
      <c r="E10" s="227">
        <f>ROUND(D10/C10*100,2)</f>
        <v>24.44</v>
      </c>
      <c r="F10" s="225">
        <v>59</v>
      </c>
      <c r="G10" s="227">
        <v>2067</v>
      </c>
      <c r="H10" s="225">
        <v>471</v>
      </c>
      <c r="I10" s="227">
        <f>ROUND(H10/G10*100,2)</f>
        <v>22.79</v>
      </c>
      <c r="J10" s="225">
        <v>36</v>
      </c>
      <c r="K10" s="227">
        <v>2036</v>
      </c>
      <c r="L10" s="225">
        <v>530</v>
      </c>
      <c r="M10" s="227">
        <f>ROUND(L10/K10*100,2)</f>
        <v>26.03</v>
      </c>
      <c r="N10" s="31">
        <f>SUM(B10,F10,J10)</f>
        <v>188</v>
      </c>
      <c r="O10" s="391">
        <v>6843</v>
      </c>
      <c r="P10" s="31">
        <f>SUM(D10,H10,L10)</f>
        <v>1671</v>
      </c>
      <c r="Q10" s="227">
        <f>ROUND(P10/O10*100,2)</f>
        <v>24.42</v>
      </c>
      <c r="R10" s="227">
        <f>ROUND('2.2,2.3'!$E$26/1000/'7.2,7.3'!N10,0)</f>
        <v>21</v>
      </c>
    </row>
    <row r="11" spans="1:23" ht="19.5" customHeight="1">
      <c r="A11" s="1093">
        <v>2014</v>
      </c>
      <c r="B11" s="244">
        <v>97</v>
      </c>
      <c r="C11" s="427">
        <v>2859</v>
      </c>
      <c r="D11" s="244">
        <v>764</v>
      </c>
      <c r="E11" s="427">
        <f>ROUND(D11/C11*100,2)</f>
        <v>26.72</v>
      </c>
      <c r="F11" s="244">
        <v>68</v>
      </c>
      <c r="G11" s="427">
        <v>2480</v>
      </c>
      <c r="H11" s="244">
        <v>530</v>
      </c>
      <c r="I11" s="427">
        <f>ROUND(H11/G11*100,2)</f>
        <v>21.37</v>
      </c>
      <c r="J11" s="244">
        <v>43</v>
      </c>
      <c r="K11" s="427">
        <v>2295</v>
      </c>
      <c r="L11" s="236">
        <v>586</v>
      </c>
      <c r="M11" s="427">
        <f>ROUND(L11/K11*100,2)</f>
        <v>25.53</v>
      </c>
      <c r="N11" s="43">
        <f>SUM(B11,F11,J11)</f>
        <v>208</v>
      </c>
      <c r="O11" s="43">
        <f>SUM(C11,G11,K11)</f>
        <v>7634</v>
      </c>
      <c r="P11" s="31">
        <f>SUM(D11,H11,L11)</f>
        <v>1880</v>
      </c>
      <c r="Q11" s="427">
        <f>ROUND(P11/O11*100,2)</f>
        <v>24.63</v>
      </c>
      <c r="R11" s="227">
        <f>ROUND('2.2,2.3'!$E$26/1000/'7.2,7.3'!N11,0)</f>
        <v>19</v>
      </c>
    </row>
    <row r="12" spans="1:23" ht="12.75" customHeight="1">
      <c r="A12" s="1108" t="s">
        <v>147</v>
      </c>
      <c r="B12" s="1109" t="s">
        <v>1115</v>
      </c>
      <c r="C12" s="1109"/>
      <c r="D12" s="1109"/>
      <c r="E12" s="1109"/>
      <c r="F12" s="1109"/>
      <c r="G12" s="1109"/>
      <c r="H12" s="1109"/>
      <c r="I12" s="1109"/>
      <c r="J12" s="1109"/>
      <c r="K12" s="500"/>
      <c r="L12" s="1135" t="s">
        <v>1036</v>
      </c>
      <c r="M12" s="1677" t="s">
        <v>1122</v>
      </c>
      <c r="N12" s="1678"/>
      <c r="O12" s="1678"/>
      <c r="P12" s="1678"/>
      <c r="Q12" s="1678"/>
      <c r="R12" s="1678"/>
      <c r="S12" s="383"/>
      <c r="T12" s="383"/>
      <c r="U12" s="383"/>
      <c r="V12" s="383"/>
      <c r="W12" s="383"/>
    </row>
    <row r="13" spans="1:23">
      <c r="A13" s="1109"/>
      <c r="B13" s="1109" t="s">
        <v>1116</v>
      </c>
      <c r="C13" s="1109"/>
      <c r="D13" s="1109"/>
      <c r="E13" s="1109"/>
      <c r="F13" s="1109"/>
      <c r="G13" s="1109"/>
      <c r="H13" s="1109"/>
      <c r="I13" s="1109"/>
      <c r="J13" s="1109"/>
      <c r="K13" s="500"/>
      <c r="L13" s="887"/>
      <c r="M13" s="1679"/>
      <c r="N13" s="1679"/>
      <c r="O13" s="1679"/>
      <c r="P13" s="1679"/>
      <c r="Q13" s="1679"/>
      <c r="R13" s="1679"/>
    </row>
    <row r="14" spans="1:23">
      <c r="A14" s="1109"/>
      <c r="B14" s="1109" t="s">
        <v>1121</v>
      </c>
      <c r="C14" s="1109"/>
      <c r="D14" s="1109"/>
      <c r="E14" s="1109"/>
      <c r="F14" s="1109"/>
      <c r="G14" s="1109"/>
      <c r="H14" s="1109"/>
      <c r="I14" s="1109"/>
      <c r="J14" s="1109"/>
      <c r="K14" s="500"/>
      <c r="L14" s="887"/>
      <c r="M14" s="933"/>
      <c r="N14" s="934"/>
      <c r="O14" s="1134"/>
      <c r="P14" s="1134"/>
      <c r="Q14" s="1134"/>
      <c r="R14" s="1134"/>
    </row>
    <row r="15" spans="1:23">
      <c r="A15" s="1109"/>
      <c r="B15" s="1109" t="s">
        <v>1395</v>
      </c>
      <c r="C15" s="1109"/>
      <c r="D15" s="1109"/>
      <c r="E15" s="1109"/>
      <c r="F15" s="1109"/>
      <c r="G15" s="1109"/>
      <c r="H15" s="1109"/>
      <c r="I15" s="1109"/>
      <c r="J15" s="1109"/>
      <c r="K15" s="500"/>
      <c r="L15" s="887"/>
      <c r="M15" s="359"/>
      <c r="N15" s="359"/>
      <c r="O15" s="359"/>
      <c r="P15" s="359"/>
      <c r="Q15" s="359"/>
      <c r="R15" s="359"/>
    </row>
    <row r="16" spans="1:23" ht="13.5">
      <c r="A16" s="1130" t="s">
        <v>834</v>
      </c>
      <c r="B16" s="1106"/>
      <c r="C16" s="1106"/>
      <c r="D16" s="1106"/>
      <c r="E16" s="1106"/>
      <c r="F16" s="887"/>
      <c r="G16" s="887"/>
      <c r="H16" s="877"/>
      <c r="I16" s="877"/>
      <c r="J16" s="877"/>
      <c r="K16" s="877"/>
      <c r="L16" s="877"/>
    </row>
    <row r="17" spans="1:18">
      <c r="A17" s="1106" t="s">
        <v>1448</v>
      </c>
      <c r="B17" s="1107"/>
      <c r="C17" s="1107"/>
      <c r="D17" s="1107"/>
      <c r="E17" s="1107"/>
      <c r="F17" s="887"/>
      <c r="G17" s="887"/>
      <c r="H17" s="877"/>
      <c r="I17" s="877"/>
      <c r="J17" s="877"/>
      <c r="K17" s="877"/>
      <c r="L17" s="877"/>
    </row>
    <row r="18" spans="1:18">
      <c r="F18" s="359"/>
      <c r="G18" s="359"/>
      <c r="H18" s="359"/>
      <c r="I18" s="359"/>
      <c r="J18" s="359"/>
      <c r="K18" s="359"/>
      <c r="L18" s="359"/>
      <c r="M18" s="359"/>
      <c r="N18" s="359"/>
      <c r="O18" s="359"/>
      <c r="P18" s="359"/>
      <c r="Q18" s="359"/>
      <c r="R18" s="359"/>
    </row>
    <row r="19" spans="1:18">
      <c r="A19" s="1286" t="s">
        <v>445</v>
      </c>
      <c r="B19" s="1286"/>
      <c r="C19" s="1286"/>
      <c r="D19" s="1286"/>
      <c r="E19" s="1286"/>
      <c r="F19" s="1286"/>
      <c r="G19" s="1286"/>
      <c r="H19" s="1286"/>
      <c r="I19" s="1286"/>
      <c r="J19" s="1286"/>
      <c r="K19" s="1286"/>
      <c r="L19" s="1286"/>
      <c r="M19" s="1286"/>
      <c r="N19" s="1286"/>
      <c r="O19" s="1286"/>
      <c r="P19" s="1286"/>
      <c r="Q19" s="1286"/>
      <c r="R19" s="1286"/>
    </row>
    <row r="20" spans="1:18" ht="18" customHeight="1">
      <c r="A20" s="1311" t="str">
        <f>CONCATENATE("Progress of L.I.C. in the district of ",District!A1)</f>
        <v>Progress of L.I.C. in the district of Jalpaiguri</v>
      </c>
      <c r="B20" s="1311"/>
      <c r="C20" s="1311"/>
      <c r="D20" s="1311"/>
      <c r="E20" s="1311"/>
      <c r="F20" s="1311"/>
      <c r="G20" s="1311"/>
      <c r="H20" s="1311"/>
      <c r="I20" s="1311"/>
      <c r="J20" s="1311"/>
      <c r="K20" s="1311"/>
      <c r="L20" s="1311"/>
      <c r="M20" s="1311"/>
      <c r="N20" s="1311"/>
      <c r="O20" s="1311"/>
      <c r="P20" s="1311"/>
      <c r="Q20" s="1311"/>
      <c r="R20" s="1311"/>
    </row>
    <row r="21" spans="1:18" ht="16.5" customHeight="1">
      <c r="A21" s="1293" t="s">
        <v>98</v>
      </c>
      <c r="B21" s="1502"/>
      <c r="C21" s="1294"/>
      <c r="D21" s="1636" t="s">
        <v>1123</v>
      </c>
      <c r="E21" s="1636"/>
      <c r="F21" s="1636"/>
      <c r="G21" s="1636"/>
      <c r="H21" s="1631"/>
      <c r="I21" s="1630" t="s">
        <v>863</v>
      </c>
      <c r="J21" s="1636"/>
      <c r="K21" s="1636"/>
      <c r="L21" s="1636"/>
      <c r="M21" s="1631"/>
      <c r="N21" s="1630" t="s">
        <v>1124</v>
      </c>
      <c r="O21" s="1636"/>
      <c r="P21" s="1636"/>
      <c r="Q21" s="1636"/>
      <c r="R21" s="1631"/>
    </row>
    <row r="22" spans="1:18" ht="29.25" customHeight="1">
      <c r="A22" s="1503"/>
      <c r="B22" s="1504"/>
      <c r="C22" s="1504"/>
      <c r="D22" s="1442" t="s">
        <v>861</v>
      </c>
      <c r="E22" s="1636"/>
      <c r="F22" s="1631"/>
      <c r="G22" s="1442" t="s">
        <v>1255</v>
      </c>
      <c r="H22" s="1443"/>
      <c r="I22" s="1442" t="s">
        <v>1125</v>
      </c>
      <c r="J22" s="1596"/>
      <c r="K22" s="1443"/>
      <c r="L22" s="1442" t="s">
        <v>729</v>
      </c>
      <c r="M22" s="1443"/>
      <c r="N22" s="1442" t="s">
        <v>862</v>
      </c>
      <c r="O22" s="1596"/>
      <c r="P22" s="1443"/>
      <c r="Q22" s="1442" t="s">
        <v>1256</v>
      </c>
      <c r="R22" s="1443"/>
    </row>
    <row r="23" spans="1:18" ht="14.25" customHeight="1">
      <c r="A23" s="1385" t="s">
        <v>278</v>
      </c>
      <c r="B23" s="1424"/>
      <c r="C23" s="1424"/>
      <c r="D23" s="1385" t="s">
        <v>279</v>
      </c>
      <c r="E23" s="1424"/>
      <c r="F23" s="1386"/>
      <c r="G23" s="1385" t="s">
        <v>280</v>
      </c>
      <c r="H23" s="1386"/>
      <c r="I23" s="1385" t="s">
        <v>281</v>
      </c>
      <c r="J23" s="1424"/>
      <c r="K23" s="1386"/>
      <c r="L23" s="1385" t="s">
        <v>282</v>
      </c>
      <c r="M23" s="1386"/>
      <c r="N23" s="1385" t="s">
        <v>283</v>
      </c>
      <c r="O23" s="1424"/>
      <c r="P23" s="1386"/>
      <c r="Q23" s="1385" t="s">
        <v>284</v>
      </c>
      <c r="R23" s="1386"/>
    </row>
    <row r="24" spans="1:18" ht="19.5" customHeight="1">
      <c r="A24" s="1680" t="s">
        <v>1110</v>
      </c>
      <c r="B24" s="1681"/>
      <c r="C24" s="1682"/>
      <c r="D24" s="1680">
        <v>131258</v>
      </c>
      <c r="E24" s="1681"/>
      <c r="F24" s="1682"/>
      <c r="G24" s="1680">
        <v>824.67</v>
      </c>
      <c r="H24" s="1682"/>
      <c r="I24" s="1680">
        <v>643237</v>
      </c>
      <c r="J24" s="1681"/>
      <c r="K24" s="1682"/>
      <c r="L24" s="1680">
        <v>2166515</v>
      </c>
      <c r="M24" s="1682"/>
      <c r="N24" s="1680">
        <v>29879</v>
      </c>
      <c r="O24" s="1681"/>
      <c r="P24" s="1682"/>
      <c r="Q24" s="1680">
        <v>393100</v>
      </c>
      <c r="R24" s="1682"/>
    </row>
    <row r="25" spans="1:18" ht="19.5" customHeight="1">
      <c r="A25" s="1683" t="s">
        <v>1111</v>
      </c>
      <c r="B25" s="1684"/>
      <c r="C25" s="1685"/>
      <c r="D25" s="1683">
        <v>96064</v>
      </c>
      <c r="E25" s="1684"/>
      <c r="F25" s="1685"/>
      <c r="G25" s="1683">
        <v>538.79</v>
      </c>
      <c r="H25" s="1685"/>
      <c r="I25" s="1683" t="s">
        <v>155</v>
      </c>
      <c r="J25" s="1684"/>
      <c r="K25" s="1685"/>
      <c r="L25" s="1683">
        <v>2400110</v>
      </c>
      <c r="M25" s="1685"/>
      <c r="N25" s="1683">
        <v>19108</v>
      </c>
      <c r="O25" s="1684"/>
      <c r="P25" s="1685"/>
      <c r="Q25" s="1683">
        <v>291000</v>
      </c>
      <c r="R25" s="1685"/>
    </row>
    <row r="26" spans="1:18" ht="19.5" customHeight="1">
      <c r="A26" s="1683" t="s">
        <v>641</v>
      </c>
      <c r="B26" s="1684"/>
      <c r="C26" s="1685"/>
      <c r="D26" s="1683">
        <v>103362</v>
      </c>
      <c r="E26" s="1684"/>
      <c r="F26" s="1685"/>
      <c r="G26" s="1683">
        <v>1269.67</v>
      </c>
      <c r="H26" s="1685"/>
      <c r="I26" s="1683">
        <v>805246</v>
      </c>
      <c r="J26" s="1684"/>
      <c r="K26" s="1685"/>
      <c r="L26" s="1683">
        <v>2257434</v>
      </c>
      <c r="M26" s="1685"/>
      <c r="N26" s="1683">
        <v>23961</v>
      </c>
      <c r="O26" s="1684"/>
      <c r="P26" s="1685"/>
      <c r="Q26" s="1683">
        <v>458400</v>
      </c>
      <c r="R26" s="1685"/>
    </row>
    <row r="27" spans="1:18" ht="19.5" customHeight="1">
      <c r="A27" s="1683" t="s">
        <v>909</v>
      </c>
      <c r="B27" s="1684"/>
      <c r="C27" s="1685"/>
      <c r="D27" s="1683">
        <v>102538</v>
      </c>
      <c r="E27" s="1684"/>
      <c r="F27" s="1685"/>
      <c r="G27" s="1683">
        <v>1304.74</v>
      </c>
      <c r="H27" s="1685"/>
      <c r="I27" s="1683">
        <v>481211</v>
      </c>
      <c r="J27" s="1684"/>
      <c r="K27" s="1685"/>
      <c r="L27" s="1683">
        <v>1026469</v>
      </c>
      <c r="M27" s="1685"/>
      <c r="N27" s="1683">
        <v>55735</v>
      </c>
      <c r="O27" s="1684"/>
      <c r="P27" s="1685"/>
      <c r="Q27" s="1683">
        <v>1244763</v>
      </c>
      <c r="R27" s="1685"/>
    </row>
    <row r="28" spans="1:18" ht="19.5" customHeight="1">
      <c r="A28" s="1674" t="s">
        <v>895</v>
      </c>
      <c r="B28" s="1675"/>
      <c r="C28" s="1675"/>
      <c r="D28" s="1674">
        <v>120483</v>
      </c>
      <c r="E28" s="1675"/>
      <c r="F28" s="1675"/>
      <c r="G28" s="1674">
        <v>1530.61</v>
      </c>
      <c r="H28" s="1675"/>
      <c r="I28" s="1674">
        <v>1002003</v>
      </c>
      <c r="J28" s="1675"/>
      <c r="K28" s="1675"/>
      <c r="L28" s="1674">
        <v>2360425</v>
      </c>
      <c r="M28" s="1675"/>
      <c r="N28" s="1674">
        <v>18046</v>
      </c>
      <c r="O28" s="1675"/>
      <c r="P28" s="1675"/>
      <c r="Q28" s="1674">
        <v>466784</v>
      </c>
      <c r="R28" s="1676"/>
    </row>
    <row r="29" spans="1:18">
      <c r="A29" s="1179" t="s">
        <v>156</v>
      </c>
      <c r="B29" s="383"/>
      <c r="C29" s="383"/>
      <c r="D29" s="383"/>
      <c r="E29" s="383"/>
      <c r="F29" s="383"/>
      <c r="G29" s="383"/>
      <c r="H29" s="359"/>
      <c r="I29" s="359"/>
      <c r="J29" s="359"/>
      <c r="K29" s="359"/>
      <c r="L29" s="359"/>
      <c r="M29" s="359"/>
      <c r="N29" s="359"/>
      <c r="O29" s="359"/>
      <c r="Q29" s="359"/>
      <c r="R29" s="886" t="s">
        <v>1257</v>
      </c>
    </row>
    <row r="30" spans="1:18">
      <c r="A30" s="359"/>
      <c r="B30" s="359"/>
      <c r="C30" s="359"/>
      <c r="D30" s="359"/>
      <c r="E30" s="359"/>
      <c r="F30" s="359"/>
      <c r="G30" s="359"/>
      <c r="H30" s="359"/>
      <c r="I30" s="359"/>
      <c r="J30" s="359"/>
      <c r="K30" s="359"/>
      <c r="L30" s="359"/>
      <c r="M30" s="359"/>
      <c r="N30" s="359"/>
      <c r="O30" s="359"/>
      <c r="P30" s="359"/>
      <c r="Q30" s="359"/>
      <c r="R30" s="359"/>
    </row>
    <row r="31" spans="1:18">
      <c r="A31" s="359"/>
      <c r="B31" s="359"/>
      <c r="C31" s="359"/>
      <c r="D31" s="359"/>
      <c r="E31" s="359"/>
      <c r="F31" s="359"/>
      <c r="G31" s="359"/>
      <c r="H31" s="359"/>
      <c r="I31" s="359"/>
      <c r="J31" s="359"/>
      <c r="K31" s="359"/>
      <c r="L31" s="359"/>
      <c r="M31" s="359"/>
      <c r="N31" s="359"/>
      <c r="O31" s="359"/>
      <c r="P31" s="359"/>
      <c r="Q31" s="359"/>
      <c r="R31" s="359"/>
    </row>
  </sheetData>
  <mergeCells count="63">
    <mergeCell ref="A20:R20"/>
    <mergeCell ref="D21:H21"/>
    <mergeCell ref="G22:H22"/>
    <mergeCell ref="A21:C22"/>
    <mergeCell ref="L26:M26"/>
    <mergeCell ref="A26:C26"/>
    <mergeCell ref="Q23:R23"/>
    <mergeCell ref="N23:P23"/>
    <mergeCell ref="N25:P25"/>
    <mergeCell ref="Q25:R25"/>
    <mergeCell ref="L24:M24"/>
    <mergeCell ref="L25:M25"/>
    <mergeCell ref="Q24:R24"/>
    <mergeCell ref="N24:P24"/>
    <mergeCell ref="L23:M23"/>
    <mergeCell ref="A23:C23"/>
    <mergeCell ref="A27:C27"/>
    <mergeCell ref="D27:F27"/>
    <mergeCell ref="G27:H27"/>
    <mergeCell ref="G26:H26"/>
    <mergeCell ref="I26:K26"/>
    <mergeCell ref="I27:K27"/>
    <mergeCell ref="D26:F26"/>
    <mergeCell ref="L27:M27"/>
    <mergeCell ref="N27:P27"/>
    <mergeCell ref="Q27:R27"/>
    <mergeCell ref="N26:P26"/>
    <mergeCell ref="Q26:R26"/>
    <mergeCell ref="A24:C24"/>
    <mergeCell ref="A25:C25"/>
    <mergeCell ref="I21:M21"/>
    <mergeCell ref="G24:H24"/>
    <mergeCell ref="I23:K23"/>
    <mergeCell ref="G23:H23"/>
    <mergeCell ref="I24:K24"/>
    <mergeCell ref="D23:F23"/>
    <mergeCell ref="D24:F24"/>
    <mergeCell ref="I25:K25"/>
    <mergeCell ref="D25:F25"/>
    <mergeCell ref="G25:H25"/>
    <mergeCell ref="A1:R1"/>
    <mergeCell ref="A19:R19"/>
    <mergeCell ref="L22:M22"/>
    <mergeCell ref="A2:R2"/>
    <mergeCell ref="B4:E4"/>
    <mergeCell ref="F4:I4"/>
    <mergeCell ref="R4:R5"/>
    <mergeCell ref="N21:R21"/>
    <mergeCell ref="D22:F22"/>
    <mergeCell ref="A4:A5"/>
    <mergeCell ref="I22:K22"/>
    <mergeCell ref="J4:M4"/>
    <mergeCell ref="Q22:R22"/>
    <mergeCell ref="N22:P22"/>
    <mergeCell ref="N4:Q4"/>
    <mergeCell ref="M12:R13"/>
    <mergeCell ref="A28:C28"/>
    <mergeCell ref="D28:F28"/>
    <mergeCell ref="Q28:R28"/>
    <mergeCell ref="L28:M28"/>
    <mergeCell ref="N28:P28"/>
    <mergeCell ref="G28:H28"/>
    <mergeCell ref="I28:K28"/>
  </mergeCells>
  <phoneticPr fontId="0" type="noConversion"/>
  <printOptions horizontalCentered="1"/>
  <pageMargins left="0.1" right="0.1" top="0.46" bottom="0.1" header="0.39" footer="0.1"/>
  <pageSetup paperSize="9" orientation="landscape" blackAndWhite="1" r:id="rId1"/>
  <headerFooter alignWithMargins="0"/>
</worksheet>
</file>

<file path=xl/worksheets/sheet53.xml><?xml version="1.0" encoding="utf-8"?>
<worksheet xmlns="http://schemas.openxmlformats.org/spreadsheetml/2006/main" xmlns:r="http://schemas.openxmlformats.org/officeDocument/2006/relationships">
  <sheetPr codeName="Sheet56"/>
  <dimension ref="A1:K58"/>
  <sheetViews>
    <sheetView topLeftCell="A34" workbookViewId="0">
      <selection activeCell="B32" sqref="B32"/>
    </sheetView>
  </sheetViews>
  <sheetFormatPr defaultRowHeight="12.75"/>
  <cols>
    <col min="1" max="1" width="18.28515625" customWidth="1"/>
    <col min="2" max="2" width="14.85546875" customWidth="1"/>
    <col min="3" max="3" width="13.42578125" customWidth="1"/>
    <col min="4" max="4" width="13.28515625" customWidth="1"/>
    <col min="5" max="5" width="13.5703125" customWidth="1"/>
    <col min="6" max="6" width="13" customWidth="1"/>
  </cols>
  <sheetData>
    <row r="1" spans="1:11" ht="14.25" customHeight="1">
      <c r="A1" s="1286" t="s">
        <v>446</v>
      </c>
      <c r="B1" s="1286"/>
      <c r="C1" s="1286"/>
      <c r="D1" s="1286"/>
      <c r="E1" s="1286"/>
      <c r="F1" s="1286"/>
    </row>
    <row r="2" spans="1:11" ht="39.75" customHeight="1">
      <c r="A2" s="1697" t="s">
        <v>869</v>
      </c>
      <c r="B2" s="1697"/>
      <c r="C2" s="1697"/>
      <c r="D2" s="1697"/>
      <c r="E2" s="1697"/>
      <c r="F2" s="1697"/>
    </row>
    <row r="3" spans="1:11" s="72" customFormat="1" ht="12" customHeight="1">
      <c r="C3" s="828"/>
      <c r="F3" s="1079" t="s">
        <v>312</v>
      </c>
    </row>
    <row r="4" spans="1:11" ht="18.75" customHeight="1">
      <c r="A4" s="1698" t="s">
        <v>98</v>
      </c>
      <c r="B4" s="1699"/>
      <c r="C4" s="1704" t="s">
        <v>99</v>
      </c>
      <c r="D4" s="1704"/>
      <c r="E4" s="1705" t="s">
        <v>1127</v>
      </c>
      <c r="F4" s="1705"/>
      <c r="G4" s="7"/>
      <c r="H4" s="7"/>
      <c r="I4" s="7"/>
      <c r="J4" s="7"/>
      <c r="K4" s="7"/>
    </row>
    <row r="5" spans="1:11" ht="16.5" customHeight="1">
      <c r="A5" s="1700"/>
      <c r="B5" s="1701"/>
      <c r="C5" s="829" t="s">
        <v>53</v>
      </c>
      <c r="D5" s="829" t="s">
        <v>54</v>
      </c>
      <c r="E5" s="829" t="s">
        <v>53</v>
      </c>
      <c r="F5" s="827" t="s">
        <v>54</v>
      </c>
      <c r="G5" s="7"/>
      <c r="H5" s="7"/>
      <c r="I5" s="7"/>
      <c r="J5" s="7"/>
      <c r="K5" s="7"/>
    </row>
    <row r="6" spans="1:11" ht="14.25" customHeight="1">
      <c r="A6" s="1702" t="s">
        <v>278</v>
      </c>
      <c r="B6" s="1703"/>
      <c r="C6" s="830" t="s">
        <v>279</v>
      </c>
      <c r="D6" s="830" t="s">
        <v>280</v>
      </c>
      <c r="E6" s="830" t="s">
        <v>281</v>
      </c>
      <c r="F6" s="983" t="s">
        <v>282</v>
      </c>
      <c r="G6" s="7"/>
      <c r="H6" s="7"/>
      <c r="I6" s="7"/>
      <c r="J6" s="7"/>
      <c r="K6" s="7"/>
    </row>
    <row r="7" spans="1:11" ht="21.75" customHeight="1">
      <c r="A7" s="1695" t="s">
        <v>1110</v>
      </c>
      <c r="B7" s="1696"/>
      <c r="C7" s="49">
        <v>680</v>
      </c>
      <c r="D7" s="754">
        <v>2312</v>
      </c>
      <c r="E7" s="49">
        <v>3548</v>
      </c>
      <c r="F7" s="529">
        <v>15094</v>
      </c>
      <c r="G7" s="7"/>
      <c r="H7" s="7"/>
      <c r="I7" s="7"/>
      <c r="J7" s="7"/>
      <c r="K7" s="7"/>
    </row>
    <row r="8" spans="1:11" ht="21.75" customHeight="1">
      <c r="A8" s="1686" t="s">
        <v>1111</v>
      </c>
      <c r="B8" s="1687"/>
      <c r="C8" s="52">
        <v>431</v>
      </c>
      <c r="D8" s="232">
        <v>2743</v>
      </c>
      <c r="E8" s="52">
        <v>2111</v>
      </c>
      <c r="F8" s="227">
        <v>17205</v>
      </c>
      <c r="G8" s="7"/>
      <c r="H8" s="7"/>
      <c r="I8" s="7"/>
      <c r="J8" s="7"/>
      <c r="K8" s="7"/>
    </row>
    <row r="9" spans="1:11" ht="21.75" customHeight="1">
      <c r="A9" s="1686" t="s">
        <v>641</v>
      </c>
      <c r="B9" s="1687"/>
      <c r="C9" s="52">
        <v>1126</v>
      </c>
      <c r="D9" s="232">
        <v>3869</v>
      </c>
      <c r="E9" s="52">
        <v>3703</v>
      </c>
      <c r="F9" s="227">
        <v>20908</v>
      </c>
      <c r="G9" s="7"/>
      <c r="H9" s="7"/>
      <c r="I9" s="7"/>
    </row>
    <row r="10" spans="1:11" ht="21.75" customHeight="1">
      <c r="A10" s="1686" t="s">
        <v>909</v>
      </c>
      <c r="B10" s="1687"/>
      <c r="C10" s="1209">
        <v>294</v>
      </c>
      <c r="D10" s="232">
        <f>SUM(C10,D9)</f>
        <v>4163</v>
      </c>
      <c r="E10" s="52">
        <v>1476</v>
      </c>
      <c r="F10" s="227">
        <f>SUM(E10,F9)</f>
        <v>22384</v>
      </c>
      <c r="G10" s="7"/>
      <c r="H10" s="7"/>
      <c r="I10" s="7"/>
    </row>
    <row r="11" spans="1:11" ht="21.75" customHeight="1">
      <c r="A11" s="1691" t="s">
        <v>895</v>
      </c>
      <c r="B11" s="1692"/>
      <c r="C11" s="1183">
        <v>649</v>
      </c>
      <c r="D11" s="235">
        <v>4812</v>
      </c>
      <c r="E11" s="155">
        <v>1505</v>
      </c>
      <c r="F11" s="427">
        <v>22889</v>
      </c>
      <c r="G11" s="7"/>
      <c r="H11" s="7"/>
      <c r="I11" s="7"/>
      <c r="J11" s="7"/>
      <c r="K11" s="7"/>
    </row>
    <row r="12" spans="1:11" ht="12.75" customHeight="1">
      <c r="A12" s="1110"/>
      <c r="B12" s="1110"/>
      <c r="C12" s="1110"/>
      <c r="D12" s="935" t="s">
        <v>522</v>
      </c>
      <c r="E12" s="1693" t="s">
        <v>55</v>
      </c>
      <c r="F12" s="1693"/>
    </row>
    <row r="13" spans="1:11">
      <c r="A13" s="1111"/>
      <c r="B13" s="1111"/>
      <c r="C13" s="1111"/>
      <c r="D13" s="878"/>
      <c r="E13" s="1341"/>
      <c r="F13" s="1341"/>
    </row>
    <row r="14" spans="1:11" ht="12.95" customHeight="1">
      <c r="A14" s="1111"/>
      <c r="B14" s="1111"/>
      <c r="C14" s="1111"/>
      <c r="D14" s="762"/>
      <c r="E14" s="762"/>
      <c r="F14" s="604"/>
    </row>
    <row r="15" spans="1:11">
      <c r="A15" s="1286" t="s">
        <v>447</v>
      </c>
      <c r="B15" s="1286"/>
      <c r="C15" s="1286"/>
      <c r="D15" s="1286"/>
      <c r="E15" s="1286"/>
      <c r="F15" s="1286"/>
    </row>
    <row r="16" spans="1:11" ht="14.25" customHeight="1">
      <c r="A16" s="1449" t="str">
        <f>CONCATENATE("Mouzas Electrified in the district of ",District!A1)</f>
        <v>Mouzas Electrified in the district of Jalpaiguri</v>
      </c>
      <c r="B16" s="1449"/>
      <c r="C16" s="1449"/>
      <c r="D16" s="1449"/>
      <c r="E16" s="1449"/>
      <c r="F16" s="1449"/>
    </row>
    <row r="17" spans="1:6" ht="12" customHeight="1">
      <c r="A17" s="359"/>
      <c r="B17" s="392"/>
      <c r="C17" s="392"/>
      <c r="D17" s="392"/>
      <c r="E17" s="392"/>
      <c r="F17" s="691" t="s">
        <v>312</v>
      </c>
    </row>
    <row r="18" spans="1:6" ht="18" customHeight="1">
      <c r="A18" s="1694" t="s">
        <v>1258</v>
      </c>
      <c r="B18" s="1444" t="s">
        <v>448</v>
      </c>
      <c r="C18" s="1444"/>
      <c r="D18" s="1444"/>
      <c r="E18" s="1444"/>
      <c r="F18" s="1446"/>
    </row>
    <row r="19" spans="1:6" ht="18" customHeight="1">
      <c r="A19" s="1315"/>
      <c r="B19" s="529">
        <v>2010</v>
      </c>
      <c r="C19" s="216">
        <v>2011</v>
      </c>
      <c r="D19" s="529">
        <v>2012</v>
      </c>
      <c r="E19" s="216">
        <v>2013</v>
      </c>
      <c r="F19" s="216">
        <v>2014</v>
      </c>
    </row>
    <row r="20" spans="1:6" ht="18" customHeight="1">
      <c r="A20" s="57" t="s">
        <v>278</v>
      </c>
      <c r="B20" s="57" t="s">
        <v>279</v>
      </c>
      <c r="C20" s="57" t="s">
        <v>280</v>
      </c>
      <c r="D20" s="57" t="s">
        <v>281</v>
      </c>
      <c r="E20" s="57" t="s">
        <v>282</v>
      </c>
      <c r="F20" s="58" t="s">
        <v>283</v>
      </c>
    </row>
    <row r="21" spans="1:6" ht="19.5" customHeight="1">
      <c r="A21" s="352" t="s">
        <v>547</v>
      </c>
      <c r="B21" s="229">
        <f>SUM(B22:B25)</f>
        <v>238</v>
      </c>
      <c r="C21" s="229">
        <f>SUM(C22:C25)</f>
        <v>238</v>
      </c>
      <c r="D21" s="229">
        <f>SUM(D22:D25)</f>
        <v>238</v>
      </c>
      <c r="E21" s="211">
        <f>SUM(E22:E25)</f>
        <v>238</v>
      </c>
      <c r="F21" s="211">
        <f>SUM(F22:F25)</f>
        <v>238</v>
      </c>
    </row>
    <row r="22" spans="1:6" ht="19.5" customHeight="1">
      <c r="A22" s="321" t="s">
        <v>561</v>
      </c>
      <c r="B22" s="52">
        <v>29</v>
      </c>
      <c r="C22" s="52">
        <v>29</v>
      </c>
      <c r="D22" s="52">
        <v>29</v>
      </c>
      <c r="E22" s="48">
        <v>29</v>
      </c>
      <c r="F22" s="48">
        <v>29</v>
      </c>
    </row>
    <row r="23" spans="1:6" ht="19.5" customHeight="1">
      <c r="A23" s="321" t="s">
        <v>1149</v>
      </c>
      <c r="B23" s="52">
        <v>29</v>
      </c>
      <c r="C23" s="52">
        <v>29</v>
      </c>
      <c r="D23" s="52">
        <v>29</v>
      </c>
      <c r="E23" s="48">
        <v>29</v>
      </c>
      <c r="F23" s="48">
        <v>29</v>
      </c>
    </row>
    <row r="24" spans="1:6" ht="19.5" customHeight="1">
      <c r="A24" s="321" t="s">
        <v>549</v>
      </c>
      <c r="B24" s="52">
        <v>79</v>
      </c>
      <c r="C24" s="52">
        <v>79</v>
      </c>
      <c r="D24" s="52">
        <v>79</v>
      </c>
      <c r="E24" s="48">
        <v>79</v>
      </c>
      <c r="F24" s="48">
        <v>79</v>
      </c>
    </row>
    <row r="25" spans="1:6" ht="19.5" customHeight="1">
      <c r="A25" s="321" t="s">
        <v>550</v>
      </c>
      <c r="B25" s="52">
        <v>101</v>
      </c>
      <c r="C25" s="52">
        <v>101</v>
      </c>
      <c r="D25" s="52">
        <v>101</v>
      </c>
      <c r="E25" s="48">
        <v>101</v>
      </c>
      <c r="F25" s="48">
        <v>101</v>
      </c>
    </row>
    <row r="26" spans="1:6" ht="19.5" customHeight="1">
      <c r="A26" s="352" t="s">
        <v>551</v>
      </c>
      <c r="B26" s="229">
        <f>SUM(B27:B29)</f>
        <v>168</v>
      </c>
      <c r="C26" s="229">
        <f>SUM(C27:C29)</f>
        <v>168</v>
      </c>
      <c r="D26" s="229">
        <f>SUM(D27:D29)</f>
        <v>168</v>
      </c>
      <c r="E26" s="211">
        <f>SUM(E27:E29)</f>
        <v>168</v>
      </c>
      <c r="F26" s="211">
        <f>SUM(F27:F29)</f>
        <v>168</v>
      </c>
    </row>
    <row r="27" spans="1:6" ht="19.5" customHeight="1">
      <c r="A27" s="321" t="s">
        <v>552</v>
      </c>
      <c r="B27" s="52">
        <v>105</v>
      </c>
      <c r="C27" s="52">
        <v>105</v>
      </c>
      <c r="D27" s="52">
        <v>105</v>
      </c>
      <c r="E27" s="48">
        <v>105</v>
      </c>
      <c r="F27" s="48">
        <v>105</v>
      </c>
    </row>
    <row r="28" spans="1:6" ht="19.5" customHeight="1">
      <c r="A28" s="321" t="s">
        <v>553</v>
      </c>
      <c r="B28" s="52">
        <v>30</v>
      </c>
      <c r="C28" s="52">
        <v>30</v>
      </c>
      <c r="D28" s="52">
        <v>30</v>
      </c>
      <c r="E28" s="48">
        <v>30</v>
      </c>
      <c r="F28" s="48">
        <v>30</v>
      </c>
    </row>
    <row r="29" spans="1:6" ht="19.5" customHeight="1">
      <c r="A29" s="321" t="s">
        <v>554</v>
      </c>
      <c r="B29" s="52">
        <v>33</v>
      </c>
      <c r="C29" s="52">
        <v>33</v>
      </c>
      <c r="D29" s="52">
        <v>33</v>
      </c>
      <c r="E29" s="48">
        <v>33</v>
      </c>
      <c r="F29" s="48">
        <v>33</v>
      </c>
    </row>
    <row r="30" spans="1:6" ht="19.5" customHeight="1">
      <c r="A30" s="352" t="s">
        <v>556</v>
      </c>
      <c r="B30" s="229">
        <f>SUM(B31:B36)</f>
        <v>338</v>
      </c>
      <c r="C30" s="229">
        <f>SUM(C31:C36)</f>
        <v>338</v>
      </c>
      <c r="D30" s="229">
        <f>SUM(D31:D36)</f>
        <v>338</v>
      </c>
      <c r="E30" s="211">
        <f>SUM(E31:E36)</f>
        <v>338</v>
      </c>
      <c r="F30" s="211">
        <f>SUM(F31:F36)</f>
        <v>338</v>
      </c>
    </row>
    <row r="31" spans="1:6" ht="19.5" customHeight="1">
      <c r="A31" s="321" t="s">
        <v>555</v>
      </c>
      <c r="B31" s="52">
        <v>55</v>
      </c>
      <c r="C31" s="52">
        <v>55</v>
      </c>
      <c r="D31" s="52">
        <v>55</v>
      </c>
      <c r="E31" s="48">
        <v>55</v>
      </c>
      <c r="F31" s="48">
        <v>55</v>
      </c>
    </row>
    <row r="32" spans="1:6" ht="19.5" customHeight="1">
      <c r="A32" s="321" t="s">
        <v>557</v>
      </c>
      <c r="B32" s="52">
        <v>63</v>
      </c>
      <c r="C32" s="52">
        <v>63</v>
      </c>
      <c r="D32" s="52">
        <v>63</v>
      </c>
      <c r="E32" s="48">
        <v>63</v>
      </c>
      <c r="F32" s="48">
        <v>63</v>
      </c>
    </row>
    <row r="33" spans="1:6" ht="19.5" customHeight="1">
      <c r="A33" s="321" t="s">
        <v>560</v>
      </c>
      <c r="B33" s="52">
        <v>50</v>
      </c>
      <c r="C33" s="52">
        <v>50</v>
      </c>
      <c r="D33" s="52">
        <v>50</v>
      </c>
      <c r="E33" s="48">
        <v>50</v>
      </c>
      <c r="F33" s="48">
        <v>50</v>
      </c>
    </row>
    <row r="34" spans="1:6" ht="19.5" customHeight="1">
      <c r="A34" s="321" t="s">
        <v>566</v>
      </c>
      <c r="B34" s="52">
        <v>43</v>
      </c>
      <c r="C34" s="52">
        <v>43</v>
      </c>
      <c r="D34" s="52">
        <v>43</v>
      </c>
      <c r="E34" s="48">
        <v>43</v>
      </c>
      <c r="F34" s="48">
        <v>43</v>
      </c>
    </row>
    <row r="35" spans="1:6" ht="19.5" customHeight="1">
      <c r="A35" s="321" t="s">
        <v>567</v>
      </c>
      <c r="B35" s="52">
        <v>48</v>
      </c>
      <c r="C35" s="52">
        <v>48</v>
      </c>
      <c r="D35" s="52">
        <v>48</v>
      </c>
      <c r="E35" s="48">
        <v>48</v>
      </c>
      <c r="F35" s="48">
        <v>48</v>
      </c>
    </row>
    <row r="36" spans="1:6" ht="19.5" customHeight="1">
      <c r="A36" s="321" t="s">
        <v>569</v>
      </c>
      <c r="B36" s="52">
        <v>79</v>
      </c>
      <c r="C36" s="52">
        <v>79</v>
      </c>
      <c r="D36" s="52">
        <v>79</v>
      </c>
      <c r="E36" s="48">
        <v>79</v>
      </c>
      <c r="F36" s="48">
        <v>79</v>
      </c>
    </row>
    <row r="37" spans="1:6" ht="18" customHeight="1">
      <c r="A37" s="230" t="s">
        <v>300</v>
      </c>
      <c r="B37" s="230">
        <f>SUM(B30,B26,B21)</f>
        <v>744</v>
      </c>
      <c r="C37" s="230">
        <f>SUM(C30,C26,C21)</f>
        <v>744</v>
      </c>
      <c r="D37" s="230">
        <f>SUM(D30,D26,D21)</f>
        <v>744</v>
      </c>
      <c r="E37" s="166">
        <f>SUM(E30,E26,E21)</f>
        <v>744</v>
      </c>
      <c r="F37" s="166">
        <f>SUM(F30,F26,F21)</f>
        <v>744</v>
      </c>
    </row>
    <row r="38" spans="1:6" ht="12.75" customHeight="1">
      <c r="A38" s="282"/>
      <c r="D38" s="1009" t="s">
        <v>80</v>
      </c>
      <c r="E38" s="1690" t="s">
        <v>1259</v>
      </c>
      <c r="F38" s="1690"/>
    </row>
    <row r="39" spans="1:6" ht="12.75" customHeight="1">
      <c r="A39" s="392"/>
      <c r="E39" s="1690"/>
      <c r="F39" s="1690"/>
    </row>
    <row r="40" spans="1:6" ht="12.75" customHeight="1">
      <c r="B40" s="871"/>
      <c r="C40" s="936"/>
      <c r="E40" s="1690"/>
      <c r="F40" s="1690"/>
    </row>
    <row r="41" spans="1:6" ht="12.75" customHeight="1">
      <c r="D41" s="1112" t="s">
        <v>81</v>
      </c>
      <c r="E41" s="1688" t="s">
        <v>657</v>
      </c>
      <c r="F41" s="1689"/>
    </row>
    <row r="42" spans="1:6" ht="12.75" customHeight="1">
      <c r="E42" s="1689"/>
      <c r="F42" s="1689"/>
    </row>
    <row r="43" spans="1:6" ht="14.25" customHeight="1"/>
    <row r="44" spans="1:6" ht="12.75" customHeight="1"/>
    <row r="45" spans="1:6" ht="16.5" customHeight="1"/>
    <row r="46" spans="1:6" ht="16.5" customHeight="1"/>
    <row r="47" spans="1:6" ht="16.5" customHeight="1"/>
    <row r="48" spans="1:6" ht="16.5" customHeight="1"/>
    <row r="49" spans="1:6" ht="16.5" customHeight="1"/>
    <row r="52" spans="1:6">
      <c r="A52" s="359"/>
      <c r="B52" s="359"/>
      <c r="C52" s="359"/>
      <c r="D52" s="359"/>
      <c r="E52" s="359"/>
      <c r="F52" s="359"/>
    </row>
    <row r="54" spans="1:6">
      <c r="A54" s="359"/>
      <c r="B54" s="359"/>
      <c r="C54" s="359"/>
      <c r="D54" s="359"/>
      <c r="E54" s="359"/>
      <c r="F54" s="359"/>
    </row>
    <row r="55" spans="1:6">
      <c r="A55" s="359"/>
      <c r="B55" s="359"/>
      <c r="C55" s="359"/>
      <c r="D55" s="359"/>
      <c r="E55" s="359"/>
      <c r="F55" s="359"/>
    </row>
    <row r="56" spans="1:6">
      <c r="A56" s="359"/>
      <c r="B56" s="359"/>
      <c r="C56" s="359"/>
      <c r="D56" s="359"/>
      <c r="E56" s="359"/>
      <c r="F56" s="359"/>
    </row>
    <row r="57" spans="1:6">
      <c r="A57" s="359"/>
      <c r="B57" s="359"/>
      <c r="C57" s="359"/>
      <c r="D57" s="359"/>
      <c r="E57" s="359"/>
      <c r="F57" s="359"/>
    </row>
    <row r="58" spans="1:6">
      <c r="A58" s="359"/>
      <c r="B58" s="359"/>
      <c r="C58" s="359"/>
      <c r="D58" s="359"/>
      <c r="E58" s="359"/>
      <c r="F58" s="359"/>
    </row>
  </sheetData>
  <mergeCells count="18">
    <mergeCell ref="A9:B9"/>
    <mergeCell ref="A7:B7"/>
    <mergeCell ref="A1:F1"/>
    <mergeCell ref="A2:F2"/>
    <mergeCell ref="A4:B5"/>
    <mergeCell ref="A6:B6"/>
    <mergeCell ref="C4:D4"/>
    <mergeCell ref="E4:F4"/>
    <mergeCell ref="A8:B8"/>
    <mergeCell ref="A10:B10"/>
    <mergeCell ref="E41:F42"/>
    <mergeCell ref="E38:F40"/>
    <mergeCell ref="A16:F16"/>
    <mergeCell ref="A11:B11"/>
    <mergeCell ref="E12:F13"/>
    <mergeCell ref="A18:A19"/>
    <mergeCell ref="B18:F18"/>
    <mergeCell ref="A15:F15"/>
  </mergeCells>
  <phoneticPr fontId="0" type="noConversion"/>
  <printOptions horizontalCentered="1"/>
  <pageMargins left="0.15" right="0.1" top="0.63" bottom="0.1" header="0.57999999999999996" footer="0.1"/>
  <pageSetup paperSize="9" orientation="portrait" blackAndWhite="1" r:id="rId1"/>
  <headerFooter alignWithMargins="0"/>
</worksheet>
</file>

<file path=xl/worksheets/sheet54.xml><?xml version="1.0" encoding="utf-8"?>
<worksheet xmlns="http://schemas.openxmlformats.org/spreadsheetml/2006/main" xmlns:r="http://schemas.openxmlformats.org/officeDocument/2006/relationships">
  <sheetPr codeName="Sheet58"/>
  <dimension ref="A1:J12"/>
  <sheetViews>
    <sheetView workbookViewId="0">
      <selection activeCell="G16" sqref="G16"/>
    </sheetView>
  </sheetViews>
  <sheetFormatPr defaultRowHeight="12.75"/>
  <cols>
    <col min="1" max="1" width="13.7109375" customWidth="1"/>
    <col min="2" max="2" width="10.7109375" customWidth="1"/>
    <col min="3" max="3" width="10.85546875" customWidth="1"/>
    <col min="4" max="4" width="10.42578125" customWidth="1"/>
    <col min="5" max="5" width="11.85546875" customWidth="1"/>
    <col min="6" max="6" width="10.85546875" customWidth="1"/>
    <col min="7" max="8" width="11.85546875" customWidth="1"/>
    <col min="9" max="9" width="9.42578125" customWidth="1"/>
    <col min="10" max="10" width="10" customWidth="1"/>
  </cols>
  <sheetData>
    <row r="1" spans="1:10" ht="15" customHeight="1">
      <c r="A1" s="1286" t="s">
        <v>449</v>
      </c>
      <c r="B1" s="1286"/>
      <c r="C1" s="1286"/>
      <c r="D1" s="1286"/>
      <c r="E1" s="1286"/>
      <c r="F1" s="1286"/>
      <c r="G1" s="1286"/>
      <c r="H1" s="1286"/>
      <c r="I1" s="1286"/>
      <c r="J1" s="1286"/>
    </row>
    <row r="2" spans="1:10" ht="20.25" customHeight="1">
      <c r="A2" s="1437" t="s">
        <v>148</v>
      </c>
      <c r="B2" s="1437"/>
      <c r="C2" s="1437"/>
      <c r="D2" s="1437"/>
      <c r="E2" s="1437"/>
      <c r="F2" s="1437"/>
      <c r="G2" s="1437"/>
      <c r="H2" s="1437"/>
      <c r="I2" s="1437"/>
      <c r="J2" s="1437"/>
    </row>
    <row r="3" spans="1:10" ht="12" customHeight="1">
      <c r="A3" s="359"/>
      <c r="B3" s="512"/>
      <c r="C3" s="512"/>
      <c r="D3" s="512"/>
      <c r="E3" s="512"/>
      <c r="F3" s="29"/>
      <c r="G3" s="29"/>
      <c r="H3" s="29"/>
      <c r="I3" s="432"/>
      <c r="J3" s="665" t="s">
        <v>870</v>
      </c>
    </row>
    <row r="4" spans="1:10" ht="57.75" customHeight="1">
      <c r="A4" s="802" t="s">
        <v>98</v>
      </c>
      <c r="B4" s="802" t="s">
        <v>1128</v>
      </c>
      <c r="C4" s="803" t="s">
        <v>1398</v>
      </c>
      <c r="D4" s="804" t="s">
        <v>1129</v>
      </c>
      <c r="E4" s="803" t="s">
        <v>256</v>
      </c>
      <c r="F4" s="1011" t="s">
        <v>1130</v>
      </c>
      <c r="G4" s="804" t="s">
        <v>617</v>
      </c>
      <c r="H4" s="805" t="s">
        <v>1072</v>
      </c>
      <c r="I4" s="805" t="s">
        <v>227</v>
      </c>
      <c r="J4" s="805" t="s">
        <v>300</v>
      </c>
    </row>
    <row r="5" spans="1:10" ht="17.25" customHeight="1">
      <c r="A5" s="57" t="s">
        <v>278</v>
      </c>
      <c r="B5" s="57" t="s">
        <v>279</v>
      </c>
      <c r="C5" s="87" t="s">
        <v>280</v>
      </c>
      <c r="D5" s="57" t="s">
        <v>281</v>
      </c>
      <c r="E5" s="87" t="s">
        <v>282</v>
      </c>
      <c r="F5" s="92" t="s">
        <v>283</v>
      </c>
      <c r="G5" s="57" t="s">
        <v>284</v>
      </c>
      <c r="H5" s="59" t="s">
        <v>301</v>
      </c>
      <c r="I5" s="58" t="s">
        <v>302</v>
      </c>
      <c r="J5" s="59" t="s">
        <v>303</v>
      </c>
    </row>
    <row r="6" spans="1:10" ht="36" customHeight="1">
      <c r="A6" s="91" t="s">
        <v>1110</v>
      </c>
      <c r="B6" s="227">
        <v>147290</v>
      </c>
      <c r="C6" s="227">
        <v>50853</v>
      </c>
      <c r="D6" s="227">
        <v>19875</v>
      </c>
      <c r="E6" s="232">
        <v>7025</v>
      </c>
      <c r="F6" s="754">
        <v>1839</v>
      </c>
      <c r="G6" s="227">
        <v>5963</v>
      </c>
      <c r="H6" s="227" t="s">
        <v>570</v>
      </c>
      <c r="I6" s="227">
        <v>50652</v>
      </c>
      <c r="J6" s="52">
        <v>283497</v>
      </c>
    </row>
    <row r="7" spans="1:10" ht="36" customHeight="1">
      <c r="A7" s="668" t="s">
        <v>1111</v>
      </c>
      <c r="B7" s="227">
        <v>160064</v>
      </c>
      <c r="C7" s="227">
        <v>65207</v>
      </c>
      <c r="D7" s="227">
        <v>21147</v>
      </c>
      <c r="E7" s="227">
        <v>7244</v>
      </c>
      <c r="F7" s="232">
        <v>1260</v>
      </c>
      <c r="G7" s="227">
        <v>5487</v>
      </c>
      <c r="H7" s="227" t="s">
        <v>570</v>
      </c>
      <c r="I7" s="227">
        <v>39497</v>
      </c>
      <c r="J7" s="52">
        <v>299906</v>
      </c>
    </row>
    <row r="8" spans="1:10" ht="36" customHeight="1">
      <c r="A8" s="668" t="s">
        <v>641</v>
      </c>
      <c r="B8" s="227">
        <v>199288</v>
      </c>
      <c r="C8" s="227">
        <v>65825</v>
      </c>
      <c r="D8" s="227">
        <v>25123</v>
      </c>
      <c r="E8" s="227">
        <v>7265</v>
      </c>
      <c r="F8" s="232">
        <v>2314</v>
      </c>
      <c r="G8" s="227">
        <v>5572</v>
      </c>
      <c r="H8" s="227" t="s">
        <v>570</v>
      </c>
      <c r="I8" s="227">
        <v>39549</v>
      </c>
      <c r="J8" s="52">
        <v>344936</v>
      </c>
    </row>
    <row r="9" spans="1:10" ht="36" customHeight="1">
      <c r="A9" s="668" t="s">
        <v>909</v>
      </c>
      <c r="B9" s="227">
        <v>215212</v>
      </c>
      <c r="C9" s="227">
        <v>71809</v>
      </c>
      <c r="D9" s="227">
        <v>28148</v>
      </c>
      <c r="E9" s="227">
        <v>7322</v>
      </c>
      <c r="F9" s="232">
        <v>2454</v>
      </c>
      <c r="G9" s="227">
        <v>5594</v>
      </c>
      <c r="H9" s="227" t="s">
        <v>570</v>
      </c>
      <c r="I9" s="227">
        <v>39965</v>
      </c>
      <c r="J9" s="52">
        <f>SUM(B9:I9)</f>
        <v>370504</v>
      </c>
    </row>
    <row r="10" spans="1:10" ht="36" customHeight="1">
      <c r="A10" s="662" t="s">
        <v>895</v>
      </c>
      <c r="B10" s="427">
        <v>215605</v>
      </c>
      <c r="C10" s="427">
        <v>72705</v>
      </c>
      <c r="D10" s="427">
        <v>30162</v>
      </c>
      <c r="E10" s="427">
        <v>7486</v>
      </c>
      <c r="F10" s="235">
        <v>2890</v>
      </c>
      <c r="G10" s="427">
        <v>5601</v>
      </c>
      <c r="H10" s="427" t="s">
        <v>570</v>
      </c>
      <c r="I10" s="427">
        <v>40397</v>
      </c>
      <c r="J10" s="155">
        <f>SUM(B10:I10)</f>
        <v>374846</v>
      </c>
    </row>
    <row r="11" spans="1:10">
      <c r="A11" s="513"/>
      <c r="B11" s="513"/>
      <c r="C11" s="513"/>
      <c r="D11" s="513"/>
      <c r="E11" s="513"/>
      <c r="F11" s="1009" t="s">
        <v>80</v>
      </c>
      <c r="G11" s="936" t="s">
        <v>157</v>
      </c>
      <c r="H11" s="408"/>
      <c r="I11" s="408"/>
      <c r="J11" s="886"/>
    </row>
    <row r="12" spans="1:10">
      <c r="F12" s="1009" t="s">
        <v>81</v>
      </c>
      <c r="G12" s="927" t="s">
        <v>25</v>
      </c>
    </row>
  </sheetData>
  <mergeCells count="2">
    <mergeCell ref="A1:J1"/>
    <mergeCell ref="A2:J2"/>
  </mergeCells>
  <phoneticPr fontId="0" type="noConversion"/>
  <printOptions horizontalCentered="1"/>
  <pageMargins left="0.1" right="0.1" top="1.31" bottom="1" header="0.5" footer="0.5"/>
  <pageSetup paperSize="9" orientation="landscape" blackAndWhite="1" r:id="rId1"/>
  <headerFooter alignWithMargins="0"/>
</worksheet>
</file>

<file path=xl/worksheets/sheet55.xml><?xml version="1.0" encoding="utf-8"?>
<worksheet xmlns="http://schemas.openxmlformats.org/spreadsheetml/2006/main" xmlns:r="http://schemas.openxmlformats.org/officeDocument/2006/relationships">
  <sheetPr codeName="Sheet59"/>
  <dimension ref="A1:L60"/>
  <sheetViews>
    <sheetView topLeftCell="A22" workbookViewId="0">
      <selection activeCell="G16" sqref="G16"/>
    </sheetView>
  </sheetViews>
  <sheetFormatPr defaultRowHeight="12.75"/>
  <cols>
    <col min="1" max="1" width="11.7109375" customWidth="1"/>
    <col min="2" max="2" width="10.7109375" customWidth="1"/>
    <col min="3" max="3" width="13" customWidth="1"/>
    <col min="4" max="4" width="12.140625" customWidth="1"/>
    <col min="5" max="5" width="11.7109375" customWidth="1"/>
    <col min="6" max="6" width="12.42578125" customWidth="1"/>
    <col min="7" max="7" width="13" customWidth="1"/>
    <col min="8" max="8" width="13.140625" customWidth="1"/>
    <col min="9" max="9" width="13.42578125" customWidth="1"/>
    <col min="10" max="10" width="13.28515625" customWidth="1"/>
    <col min="11" max="11" width="12.7109375" customWidth="1"/>
  </cols>
  <sheetData>
    <row r="1" spans="1:11" ht="12.75" customHeight="1">
      <c r="A1" s="1393" t="s">
        <v>450</v>
      </c>
      <c r="B1" s="1393"/>
      <c r="C1" s="1393"/>
      <c r="D1" s="1393"/>
      <c r="E1" s="1393"/>
      <c r="F1" s="1393"/>
      <c r="G1" s="1393"/>
      <c r="H1" s="1393"/>
      <c r="I1" s="1393"/>
      <c r="J1" s="1393"/>
      <c r="K1" s="1393"/>
    </row>
    <row r="2" spans="1:11" ht="18.75" customHeight="1">
      <c r="A2" s="1666" t="s">
        <v>1616</v>
      </c>
      <c r="B2" s="1666"/>
      <c r="C2" s="1666"/>
      <c r="D2" s="1666"/>
      <c r="E2" s="1666"/>
      <c r="F2" s="1666"/>
      <c r="G2" s="1666"/>
      <c r="H2" s="1666"/>
      <c r="I2" s="1666"/>
      <c r="J2" s="1666"/>
      <c r="K2" s="1666"/>
    </row>
    <row r="3" spans="1:11" ht="12.75" customHeight="1">
      <c r="C3" s="32"/>
      <c r="D3" s="32"/>
      <c r="E3" s="32"/>
      <c r="F3" s="857"/>
      <c r="G3" s="857"/>
      <c r="H3" s="857"/>
      <c r="I3" s="857"/>
      <c r="J3" s="857"/>
      <c r="K3" s="857"/>
    </row>
    <row r="4" spans="1:11" ht="44.25" customHeight="1">
      <c r="A4" s="881" t="s">
        <v>158</v>
      </c>
      <c r="B4" s="880" t="s">
        <v>1260</v>
      </c>
      <c r="C4" s="881" t="s">
        <v>212</v>
      </c>
      <c r="D4" s="880" t="s">
        <v>213</v>
      </c>
      <c r="E4" s="881" t="s">
        <v>1261</v>
      </c>
      <c r="F4" s="882" t="s">
        <v>214</v>
      </c>
      <c r="G4" s="881" t="s">
        <v>215</v>
      </c>
      <c r="H4" s="883" t="s">
        <v>216</v>
      </c>
      <c r="I4" s="884" t="s">
        <v>217</v>
      </c>
      <c r="J4" s="884" t="s">
        <v>218</v>
      </c>
      <c r="K4" s="885" t="s">
        <v>219</v>
      </c>
    </row>
    <row r="5" spans="1:11" ht="16.5" customHeight="1">
      <c r="A5" s="666" t="s">
        <v>278</v>
      </c>
      <c r="B5" s="666" t="s">
        <v>279</v>
      </c>
      <c r="C5" s="663" t="s">
        <v>280</v>
      </c>
      <c r="D5" s="666" t="s">
        <v>281</v>
      </c>
      <c r="E5" s="663" t="s">
        <v>282</v>
      </c>
      <c r="F5" s="666" t="s">
        <v>283</v>
      </c>
      <c r="G5" s="663" t="s">
        <v>284</v>
      </c>
      <c r="H5" s="667" t="s">
        <v>301</v>
      </c>
      <c r="I5" s="663" t="s">
        <v>302</v>
      </c>
      <c r="J5" s="667" t="s">
        <v>303</v>
      </c>
      <c r="K5" s="664" t="s">
        <v>304</v>
      </c>
    </row>
    <row r="6" spans="1:11" ht="18" customHeight="1">
      <c r="A6" s="320" t="s">
        <v>1594</v>
      </c>
      <c r="B6" s="227">
        <v>170.00000000000006</v>
      </c>
      <c r="C6" s="225">
        <v>52459</v>
      </c>
      <c r="D6" s="227">
        <v>79300</v>
      </c>
      <c r="E6" s="225">
        <v>17196</v>
      </c>
      <c r="F6" s="227">
        <v>5672</v>
      </c>
      <c r="G6" s="225">
        <v>9075</v>
      </c>
      <c r="H6" s="227">
        <v>168792</v>
      </c>
      <c r="I6" s="225">
        <v>198701</v>
      </c>
      <c r="J6" s="227">
        <v>25029</v>
      </c>
      <c r="K6" s="216">
        <v>22127</v>
      </c>
    </row>
    <row r="7" spans="1:11" ht="18" customHeight="1">
      <c r="A7" s="91" t="s">
        <v>1595</v>
      </c>
      <c r="B7" s="227">
        <v>2</v>
      </c>
      <c r="C7" s="225">
        <v>8530</v>
      </c>
      <c r="D7" s="227">
        <v>12603</v>
      </c>
      <c r="E7" s="225">
        <v>549</v>
      </c>
      <c r="F7" s="227">
        <v>184</v>
      </c>
      <c r="G7" s="225">
        <v>1345</v>
      </c>
      <c r="H7" s="227">
        <v>14106</v>
      </c>
      <c r="I7" s="225">
        <v>18216</v>
      </c>
      <c r="J7" s="227">
        <v>3083</v>
      </c>
      <c r="K7" s="216">
        <v>3059</v>
      </c>
    </row>
    <row r="8" spans="1:11" ht="18" customHeight="1">
      <c r="A8" s="91" t="s">
        <v>1596</v>
      </c>
      <c r="B8" s="227">
        <v>3</v>
      </c>
      <c r="C8" s="561">
        <v>19</v>
      </c>
      <c r="D8" s="554">
        <v>39</v>
      </c>
      <c r="E8" s="225">
        <v>24</v>
      </c>
      <c r="F8" s="227">
        <v>12</v>
      </c>
      <c r="G8" s="225">
        <v>14</v>
      </c>
      <c r="H8" s="227">
        <v>51</v>
      </c>
      <c r="I8" s="225">
        <v>75</v>
      </c>
      <c r="J8" s="227">
        <v>24</v>
      </c>
      <c r="K8" s="216">
        <v>23</v>
      </c>
    </row>
    <row r="9" spans="1:11" ht="18" customHeight="1">
      <c r="A9" s="91" t="s">
        <v>1597</v>
      </c>
      <c r="B9" s="227">
        <v>2</v>
      </c>
      <c r="C9" s="225">
        <v>1175</v>
      </c>
      <c r="D9" s="227">
        <v>1667</v>
      </c>
      <c r="E9" s="225">
        <v>517</v>
      </c>
      <c r="F9" s="227">
        <v>193</v>
      </c>
      <c r="G9" s="225">
        <v>318</v>
      </c>
      <c r="H9" s="227">
        <v>1726</v>
      </c>
      <c r="I9" s="225">
        <v>2452</v>
      </c>
      <c r="J9" s="227">
        <v>582</v>
      </c>
      <c r="K9" s="216">
        <v>402</v>
      </c>
    </row>
    <row r="10" spans="1:11" ht="18" customHeight="1">
      <c r="A10" s="91" t="s">
        <v>1598</v>
      </c>
      <c r="B10" s="227">
        <v>1</v>
      </c>
      <c r="C10" s="225">
        <v>0</v>
      </c>
      <c r="D10" s="227">
        <v>0</v>
      </c>
      <c r="E10" s="225">
        <v>6</v>
      </c>
      <c r="F10" s="227">
        <v>2</v>
      </c>
      <c r="G10" s="225">
        <v>24</v>
      </c>
      <c r="H10" s="227">
        <v>74</v>
      </c>
      <c r="I10" s="225">
        <v>77</v>
      </c>
      <c r="J10" s="227">
        <v>3</v>
      </c>
      <c r="K10" s="216">
        <v>3</v>
      </c>
    </row>
    <row r="11" spans="1:11" ht="18" customHeight="1">
      <c r="A11" s="91" t="s">
        <v>1599</v>
      </c>
      <c r="B11" s="227">
        <v>2</v>
      </c>
      <c r="C11" s="225">
        <v>39</v>
      </c>
      <c r="D11" s="227">
        <v>105</v>
      </c>
      <c r="E11" s="225">
        <v>18</v>
      </c>
      <c r="F11" s="227">
        <v>6</v>
      </c>
      <c r="G11" s="225">
        <v>4</v>
      </c>
      <c r="H11" s="227">
        <v>75</v>
      </c>
      <c r="I11" s="225">
        <v>92</v>
      </c>
      <c r="J11" s="227">
        <v>12</v>
      </c>
      <c r="K11" s="216">
        <v>7</v>
      </c>
    </row>
    <row r="12" spans="1:11" ht="18" customHeight="1">
      <c r="A12" s="91" t="s">
        <v>1600</v>
      </c>
      <c r="B12" s="227">
        <v>65</v>
      </c>
      <c r="C12" s="225">
        <v>705</v>
      </c>
      <c r="D12" s="227">
        <v>3834</v>
      </c>
      <c r="E12" s="225">
        <v>727</v>
      </c>
      <c r="F12" s="227">
        <v>255</v>
      </c>
      <c r="G12" s="225">
        <v>331</v>
      </c>
      <c r="H12" s="227">
        <v>5148</v>
      </c>
      <c r="I12" s="225">
        <v>6164</v>
      </c>
      <c r="J12" s="227">
        <v>925</v>
      </c>
      <c r="K12" s="216">
        <v>664</v>
      </c>
    </row>
    <row r="13" spans="1:11" ht="18" customHeight="1">
      <c r="A13" s="91" t="s">
        <v>1601</v>
      </c>
      <c r="B13" s="227">
        <v>4</v>
      </c>
      <c r="C13" s="225">
        <v>38</v>
      </c>
      <c r="D13" s="227">
        <v>253</v>
      </c>
      <c r="E13" s="225">
        <v>63</v>
      </c>
      <c r="F13" s="227">
        <v>19</v>
      </c>
      <c r="G13" s="225">
        <v>43</v>
      </c>
      <c r="H13" s="227">
        <v>514</v>
      </c>
      <c r="I13" s="225">
        <v>532</v>
      </c>
      <c r="J13" s="227">
        <v>13</v>
      </c>
      <c r="K13" s="216">
        <v>0</v>
      </c>
    </row>
    <row r="14" spans="1:11" ht="18" customHeight="1">
      <c r="A14" s="91" t="s">
        <v>1602</v>
      </c>
      <c r="B14" s="227">
        <v>4</v>
      </c>
      <c r="C14" s="225">
        <v>640</v>
      </c>
      <c r="D14" s="227">
        <v>681</v>
      </c>
      <c r="E14" s="225">
        <v>154</v>
      </c>
      <c r="F14" s="227">
        <v>132</v>
      </c>
      <c r="G14" s="225">
        <v>1083</v>
      </c>
      <c r="H14" s="227">
        <v>3241</v>
      </c>
      <c r="I14" s="225">
        <v>3301</v>
      </c>
      <c r="J14" s="227">
        <v>4</v>
      </c>
      <c r="K14" s="216">
        <v>268</v>
      </c>
    </row>
    <row r="15" spans="1:11" ht="18" customHeight="1">
      <c r="A15" s="91" t="s">
        <v>1603</v>
      </c>
      <c r="B15" s="227">
        <v>2</v>
      </c>
      <c r="C15" s="225">
        <v>5316</v>
      </c>
      <c r="D15" s="227">
        <v>9672</v>
      </c>
      <c r="E15" s="225">
        <v>126</v>
      </c>
      <c r="F15" s="227">
        <v>66</v>
      </c>
      <c r="G15" s="225">
        <v>601</v>
      </c>
      <c r="H15" s="227">
        <v>33466</v>
      </c>
      <c r="I15" s="225">
        <v>33204</v>
      </c>
      <c r="J15" s="227">
        <v>-696</v>
      </c>
      <c r="K15" s="216">
        <v>-1222</v>
      </c>
    </row>
    <row r="16" spans="1:11" ht="18" customHeight="1">
      <c r="A16" s="91" t="s">
        <v>1604</v>
      </c>
      <c r="B16" s="227">
        <v>6</v>
      </c>
      <c r="C16" s="225">
        <v>4522</v>
      </c>
      <c r="D16" s="227">
        <v>10314</v>
      </c>
      <c r="E16" s="225">
        <v>512</v>
      </c>
      <c r="F16" s="227">
        <v>201</v>
      </c>
      <c r="G16" s="225">
        <v>1895</v>
      </c>
      <c r="H16" s="227">
        <v>25223</v>
      </c>
      <c r="I16" s="225">
        <v>72862</v>
      </c>
      <c r="J16" s="227">
        <v>47351</v>
      </c>
      <c r="K16" s="216">
        <v>47337</v>
      </c>
    </row>
    <row r="17" spans="1:11" ht="18" customHeight="1">
      <c r="A17" s="91" t="s">
        <v>1605</v>
      </c>
      <c r="B17" s="227">
        <v>6</v>
      </c>
      <c r="C17" s="225">
        <v>93</v>
      </c>
      <c r="D17" s="227">
        <v>794</v>
      </c>
      <c r="E17" s="225">
        <v>83</v>
      </c>
      <c r="F17" s="227">
        <v>46</v>
      </c>
      <c r="G17" s="225">
        <v>67</v>
      </c>
      <c r="H17" s="227">
        <v>939</v>
      </c>
      <c r="I17" s="225">
        <v>1062</v>
      </c>
      <c r="J17" s="227">
        <v>110</v>
      </c>
      <c r="K17" s="216">
        <v>108</v>
      </c>
    </row>
    <row r="18" spans="1:11" ht="18" customHeight="1">
      <c r="A18" s="91" t="s">
        <v>1606</v>
      </c>
      <c r="B18" s="227">
        <v>14</v>
      </c>
      <c r="C18" s="225">
        <v>18351</v>
      </c>
      <c r="D18" s="227">
        <v>20063</v>
      </c>
      <c r="E18" s="225">
        <v>803</v>
      </c>
      <c r="F18" s="227">
        <v>289</v>
      </c>
      <c r="G18" s="225">
        <v>645</v>
      </c>
      <c r="H18" s="227">
        <v>12672</v>
      </c>
      <c r="I18" s="225">
        <v>15280</v>
      </c>
      <c r="J18" s="227">
        <v>2310</v>
      </c>
      <c r="K18" s="216">
        <v>1961</v>
      </c>
    </row>
    <row r="19" spans="1:11" ht="18" customHeight="1">
      <c r="A19" s="91" t="s">
        <v>1607</v>
      </c>
      <c r="B19" s="227">
        <v>4</v>
      </c>
      <c r="C19" s="225">
        <v>307</v>
      </c>
      <c r="D19" s="227">
        <v>1039</v>
      </c>
      <c r="E19" s="225">
        <v>72</v>
      </c>
      <c r="F19" s="227">
        <v>26</v>
      </c>
      <c r="G19" s="225">
        <v>27</v>
      </c>
      <c r="H19" s="227">
        <v>2570</v>
      </c>
      <c r="I19" s="225">
        <v>12736</v>
      </c>
      <c r="J19" s="227">
        <v>10125</v>
      </c>
      <c r="K19" s="216">
        <v>10098</v>
      </c>
    </row>
    <row r="20" spans="1:11" ht="18" customHeight="1">
      <c r="A20" s="91" t="s">
        <v>1608</v>
      </c>
      <c r="B20" s="227">
        <v>5</v>
      </c>
      <c r="C20" s="225">
        <v>478</v>
      </c>
      <c r="D20" s="227">
        <v>1311</v>
      </c>
      <c r="E20" s="225">
        <v>283</v>
      </c>
      <c r="F20" s="227">
        <v>100</v>
      </c>
      <c r="G20" s="225">
        <v>371</v>
      </c>
      <c r="H20" s="227">
        <v>4839</v>
      </c>
      <c r="I20" s="225">
        <v>5577</v>
      </c>
      <c r="J20" s="227">
        <v>653</v>
      </c>
      <c r="K20" s="216">
        <v>746</v>
      </c>
    </row>
    <row r="21" spans="1:11" ht="18" customHeight="1">
      <c r="A21" s="91" t="s">
        <v>1609</v>
      </c>
      <c r="B21" s="227">
        <v>9</v>
      </c>
      <c r="C21" s="225">
        <v>27</v>
      </c>
      <c r="D21" s="227">
        <v>34</v>
      </c>
      <c r="E21" s="225">
        <v>157</v>
      </c>
      <c r="F21" s="227">
        <v>55</v>
      </c>
      <c r="G21" s="225">
        <v>71</v>
      </c>
      <c r="H21" s="227">
        <v>173</v>
      </c>
      <c r="I21" s="225">
        <v>306</v>
      </c>
      <c r="J21" s="227">
        <v>128</v>
      </c>
      <c r="K21" s="216">
        <v>124</v>
      </c>
    </row>
    <row r="22" spans="1:11" ht="18" customHeight="1">
      <c r="A22" s="91" t="s">
        <v>1610</v>
      </c>
      <c r="B22" s="227">
        <v>1</v>
      </c>
      <c r="C22" s="225">
        <v>3</v>
      </c>
      <c r="D22" s="227">
        <v>26</v>
      </c>
      <c r="E22" s="225">
        <v>18</v>
      </c>
      <c r="F22" s="227">
        <v>7</v>
      </c>
      <c r="G22" s="225">
        <v>8</v>
      </c>
      <c r="H22" s="227">
        <v>96</v>
      </c>
      <c r="I22" s="225">
        <v>115</v>
      </c>
      <c r="J22" s="227">
        <v>19</v>
      </c>
      <c r="K22" s="216">
        <v>16</v>
      </c>
    </row>
    <row r="23" spans="1:11" ht="18" customHeight="1">
      <c r="A23" s="91" t="s">
        <v>1611</v>
      </c>
      <c r="B23" s="227">
        <v>1</v>
      </c>
      <c r="C23" s="225">
        <v>2</v>
      </c>
      <c r="D23" s="227">
        <v>25</v>
      </c>
      <c r="E23" s="225">
        <v>3</v>
      </c>
      <c r="F23" s="227">
        <v>1</v>
      </c>
      <c r="G23" s="225">
        <v>1</v>
      </c>
      <c r="H23" s="227">
        <v>18</v>
      </c>
      <c r="I23" s="225">
        <v>21</v>
      </c>
      <c r="J23" s="554">
        <v>2</v>
      </c>
      <c r="K23" s="216">
        <v>1</v>
      </c>
    </row>
    <row r="24" spans="1:11" ht="18" customHeight="1">
      <c r="A24" s="91" t="s">
        <v>1612</v>
      </c>
      <c r="B24" s="227">
        <v>7</v>
      </c>
      <c r="C24" s="225">
        <v>661</v>
      </c>
      <c r="D24" s="227">
        <v>3265</v>
      </c>
      <c r="E24" s="225">
        <v>371</v>
      </c>
      <c r="F24" s="227">
        <v>104</v>
      </c>
      <c r="G24" s="225">
        <v>224</v>
      </c>
      <c r="H24" s="227">
        <v>9919</v>
      </c>
      <c r="I24" s="225">
        <v>10818</v>
      </c>
      <c r="J24" s="554">
        <v>846</v>
      </c>
      <c r="K24" s="216">
        <v>483</v>
      </c>
    </row>
    <row r="25" spans="1:11" ht="18" customHeight="1">
      <c r="A25" s="91" t="s">
        <v>1613</v>
      </c>
      <c r="B25" s="227">
        <v>14</v>
      </c>
      <c r="C25" s="225">
        <v>2763</v>
      </c>
      <c r="D25" s="227">
        <v>2877</v>
      </c>
      <c r="E25" s="225">
        <v>254</v>
      </c>
      <c r="F25" s="227">
        <v>106</v>
      </c>
      <c r="G25" s="225">
        <v>255</v>
      </c>
      <c r="H25" s="227">
        <v>2696</v>
      </c>
      <c r="I25" s="225">
        <v>3922</v>
      </c>
      <c r="J25" s="554">
        <v>993</v>
      </c>
      <c r="K25" s="216">
        <v>854</v>
      </c>
    </row>
    <row r="26" spans="1:11" ht="18" customHeight="1">
      <c r="A26" s="91" t="s">
        <v>1614</v>
      </c>
      <c r="B26" s="227">
        <v>2</v>
      </c>
      <c r="C26" s="225">
        <v>0</v>
      </c>
      <c r="D26" s="227">
        <v>0</v>
      </c>
      <c r="E26" s="225">
        <v>3</v>
      </c>
      <c r="F26" s="227">
        <v>2</v>
      </c>
      <c r="G26" s="225">
        <v>1</v>
      </c>
      <c r="H26" s="227">
        <v>1</v>
      </c>
      <c r="I26" s="225">
        <v>2</v>
      </c>
      <c r="J26" s="554">
        <v>0</v>
      </c>
      <c r="K26" s="216">
        <v>0</v>
      </c>
    </row>
    <row r="27" spans="1:11" ht="18" customHeight="1">
      <c r="A27" s="91" t="s">
        <v>1615</v>
      </c>
      <c r="B27" s="227">
        <v>2</v>
      </c>
      <c r="C27" s="561">
        <v>55</v>
      </c>
      <c r="D27" s="554">
        <v>55</v>
      </c>
      <c r="E27" s="225">
        <v>42</v>
      </c>
      <c r="F27" s="227">
        <v>6</v>
      </c>
      <c r="G27" s="225">
        <v>12</v>
      </c>
      <c r="H27" s="227">
        <v>156</v>
      </c>
      <c r="I27" s="225">
        <v>178</v>
      </c>
      <c r="J27" s="554">
        <v>18</v>
      </c>
      <c r="K27" s="216">
        <v>18</v>
      </c>
    </row>
    <row r="28" spans="1:11" ht="20.100000000000001" customHeight="1">
      <c r="A28" s="230" t="s">
        <v>220</v>
      </c>
      <c r="B28" s="230">
        <f t="shared" ref="B28:K28" si="0">SUM(B6:B27)</f>
        <v>326.00000000000006</v>
      </c>
      <c r="C28" s="230">
        <f t="shared" si="0"/>
        <v>96183</v>
      </c>
      <c r="D28" s="230">
        <f t="shared" si="0"/>
        <v>147957</v>
      </c>
      <c r="E28" s="230">
        <f t="shared" si="0"/>
        <v>21981</v>
      </c>
      <c r="F28" s="230">
        <f t="shared" si="0"/>
        <v>7484</v>
      </c>
      <c r="G28" s="230">
        <f t="shared" si="0"/>
        <v>16415</v>
      </c>
      <c r="H28" s="230">
        <f t="shared" si="0"/>
        <v>286495</v>
      </c>
      <c r="I28" s="230">
        <f t="shared" si="0"/>
        <v>385693</v>
      </c>
      <c r="J28" s="230">
        <f t="shared" si="0"/>
        <v>91534</v>
      </c>
      <c r="K28" s="230">
        <f t="shared" si="0"/>
        <v>87077</v>
      </c>
    </row>
    <row r="29" spans="1:11" ht="13.5" customHeight="1">
      <c r="A29" s="223"/>
      <c r="B29" s="223"/>
      <c r="C29" s="223"/>
      <c r="D29" s="223"/>
      <c r="E29" s="223"/>
      <c r="F29" s="223"/>
      <c r="G29" s="223"/>
      <c r="H29" s="223"/>
      <c r="I29" s="223"/>
      <c r="J29" s="223"/>
      <c r="K29" s="858" t="s">
        <v>1011</v>
      </c>
    </row>
    <row r="30" spans="1:11" ht="13.5" customHeight="1">
      <c r="A30" s="223"/>
      <c r="B30" s="223"/>
      <c r="C30" s="223"/>
      <c r="D30" s="223"/>
      <c r="E30" s="223"/>
      <c r="F30" s="223"/>
      <c r="G30" s="223"/>
      <c r="H30" s="223"/>
      <c r="I30" s="223"/>
      <c r="J30" s="223"/>
      <c r="K30" s="223"/>
    </row>
    <row r="31" spans="1:11" ht="13.5" customHeight="1">
      <c r="A31" s="223"/>
      <c r="B31" s="223"/>
      <c r="C31" s="223"/>
      <c r="D31" s="223"/>
      <c r="E31" s="223"/>
      <c r="F31" s="223"/>
      <c r="G31" s="223"/>
      <c r="H31" s="223"/>
      <c r="I31" s="223"/>
      <c r="J31" s="223"/>
      <c r="K31" s="223"/>
    </row>
    <row r="32" spans="1:11" ht="13.5" customHeight="1">
      <c r="A32" s="223"/>
      <c r="B32" s="223"/>
      <c r="C32" s="223"/>
      <c r="D32" s="223"/>
      <c r="E32" s="223"/>
      <c r="F32" s="223"/>
      <c r="G32" s="223"/>
      <c r="H32" s="223"/>
      <c r="I32" s="223"/>
      <c r="J32" s="223"/>
      <c r="K32" s="223"/>
    </row>
    <row r="33" spans="1:12" ht="13.5" customHeight="1"/>
    <row r="34" spans="1:12" ht="13.5" customHeight="1">
      <c r="A34" s="1393" t="s">
        <v>1507</v>
      </c>
      <c r="B34" s="1393"/>
      <c r="C34" s="1393"/>
      <c r="D34" s="1393"/>
      <c r="E34" s="1393"/>
      <c r="F34" s="1393"/>
      <c r="G34" s="1393"/>
      <c r="H34" s="1393"/>
      <c r="I34" s="1393"/>
      <c r="J34" s="1393"/>
      <c r="K34" s="1393"/>
    </row>
    <row r="36" spans="1:12" ht="29.25" customHeight="1">
      <c r="B36" s="772" t="s">
        <v>159</v>
      </c>
      <c r="C36" s="1713" t="s">
        <v>898</v>
      </c>
      <c r="D36" s="1714"/>
      <c r="E36" s="1714"/>
      <c r="F36" s="1714"/>
      <c r="G36" s="1714"/>
      <c r="H36" s="1714"/>
      <c r="I36" s="1714"/>
      <c r="J36" s="1715"/>
      <c r="K36" s="761"/>
    </row>
    <row r="37" spans="1:12" ht="16.5" customHeight="1">
      <c r="B37" s="864">
        <v>10</v>
      </c>
      <c r="C37" s="865" t="s">
        <v>530</v>
      </c>
      <c r="D37" s="777"/>
      <c r="E37" s="361"/>
      <c r="F37" s="361"/>
      <c r="G37" s="361"/>
      <c r="H37" s="361"/>
      <c r="I37" s="361"/>
      <c r="J37" s="514"/>
      <c r="K37" s="316"/>
    </row>
    <row r="38" spans="1:12" ht="16.5" customHeight="1">
      <c r="B38" s="305">
        <v>11</v>
      </c>
      <c r="C38" s="865" t="s">
        <v>1162</v>
      </c>
      <c r="D38" s="777"/>
      <c r="E38" s="361"/>
      <c r="F38" s="361"/>
      <c r="G38" s="361"/>
      <c r="H38" s="361"/>
      <c r="I38" s="361"/>
      <c r="J38" s="514"/>
      <c r="K38" s="316"/>
    </row>
    <row r="39" spans="1:12" ht="16.5" customHeight="1">
      <c r="B39" s="305">
        <v>12</v>
      </c>
      <c r="C39" s="866" t="s">
        <v>1153</v>
      </c>
      <c r="D39" s="777"/>
      <c r="E39" s="282"/>
      <c r="F39" s="282"/>
      <c r="G39" s="282"/>
      <c r="H39" s="282"/>
      <c r="I39" s="282"/>
      <c r="J39" s="388"/>
      <c r="K39" s="282"/>
    </row>
    <row r="40" spans="1:12" ht="16.5" customHeight="1">
      <c r="B40" s="305">
        <v>13</v>
      </c>
      <c r="C40" s="1710" t="s">
        <v>1154</v>
      </c>
      <c r="D40" s="1711"/>
      <c r="E40" s="1711"/>
      <c r="F40" s="1711"/>
      <c r="G40" s="1711"/>
      <c r="H40" s="1711"/>
      <c r="I40" s="1711"/>
      <c r="J40" s="1712"/>
    </row>
    <row r="41" spans="1:12" ht="16.5" customHeight="1">
      <c r="B41" s="305">
        <v>14</v>
      </c>
      <c r="C41" s="865" t="s">
        <v>120</v>
      </c>
      <c r="D41" s="1174"/>
      <c r="E41" s="1174"/>
      <c r="F41" s="1174"/>
      <c r="G41" s="1174"/>
      <c r="H41" s="1174"/>
      <c r="I41" s="1174"/>
      <c r="J41" s="1175"/>
    </row>
    <row r="42" spans="1:12" ht="16.5" customHeight="1">
      <c r="B42" s="305">
        <v>15</v>
      </c>
      <c r="C42" s="866" t="s">
        <v>1155</v>
      </c>
      <c r="D42" s="777"/>
      <c r="E42" s="282"/>
      <c r="F42" s="282"/>
      <c r="G42" s="282"/>
      <c r="H42" s="282"/>
      <c r="I42" s="282"/>
      <c r="J42" s="388"/>
      <c r="K42" s="282"/>
      <c r="L42" s="866"/>
    </row>
    <row r="43" spans="1:12" ht="27" customHeight="1">
      <c r="B43" s="1184">
        <v>16</v>
      </c>
      <c r="C43" s="1710" t="s">
        <v>531</v>
      </c>
      <c r="D43" s="1711"/>
      <c r="E43" s="1711"/>
      <c r="F43" s="1711"/>
      <c r="G43" s="1711"/>
      <c r="H43" s="1711"/>
      <c r="I43" s="1711"/>
      <c r="J43" s="1712"/>
      <c r="K43" s="361"/>
    </row>
    <row r="44" spans="1:12" ht="16.5" customHeight="1">
      <c r="B44" s="305">
        <v>17</v>
      </c>
      <c r="C44" s="866" t="s">
        <v>451</v>
      </c>
      <c r="D44" s="777"/>
      <c r="E44" s="282"/>
      <c r="F44" s="282"/>
      <c r="G44" s="282"/>
      <c r="H44" s="282"/>
      <c r="I44" s="282"/>
      <c r="J44" s="388"/>
      <c r="K44" s="282"/>
    </row>
    <row r="45" spans="1:12" ht="16.5" customHeight="1">
      <c r="B45" s="305">
        <v>18</v>
      </c>
      <c r="C45" s="866" t="s">
        <v>122</v>
      </c>
      <c r="D45" s="777"/>
      <c r="E45" s="282"/>
      <c r="F45" s="282"/>
      <c r="G45" s="282"/>
      <c r="H45" s="282"/>
      <c r="I45" s="282"/>
      <c r="J45" s="388"/>
      <c r="K45" s="282"/>
    </row>
    <row r="46" spans="1:12" ht="16.5" customHeight="1">
      <c r="B46" s="305">
        <v>19</v>
      </c>
      <c r="C46" s="866" t="s">
        <v>121</v>
      </c>
      <c r="D46" s="777"/>
      <c r="E46" s="282"/>
      <c r="F46" s="282"/>
      <c r="G46" s="282"/>
      <c r="H46" s="282"/>
      <c r="I46" s="282"/>
      <c r="J46" s="388"/>
      <c r="K46" s="282"/>
    </row>
    <row r="47" spans="1:12" ht="16.5" customHeight="1">
      <c r="B47" s="305">
        <v>20</v>
      </c>
      <c r="C47" s="866" t="s">
        <v>452</v>
      </c>
      <c r="D47" s="777"/>
      <c r="E47" s="282"/>
      <c r="F47" s="282"/>
      <c r="G47" s="282"/>
      <c r="H47" s="282"/>
      <c r="I47" s="282"/>
      <c r="J47" s="388"/>
      <c r="K47" s="282"/>
    </row>
    <row r="48" spans="1:12" ht="16.5" customHeight="1">
      <c r="B48" s="305">
        <v>22</v>
      </c>
      <c r="C48" s="866" t="s">
        <v>150</v>
      </c>
      <c r="D48" s="777"/>
      <c r="E48" s="282"/>
      <c r="F48" s="282"/>
      <c r="G48" s="282"/>
      <c r="H48" s="282"/>
      <c r="I48" s="282"/>
      <c r="J48" s="388"/>
      <c r="K48" s="282"/>
    </row>
    <row r="49" spans="1:11" ht="16.5" customHeight="1">
      <c r="B49" s="305">
        <v>23</v>
      </c>
      <c r="C49" s="866" t="s">
        <v>453</v>
      </c>
      <c r="D49" s="777"/>
      <c r="E49" s="282"/>
      <c r="F49" s="282"/>
      <c r="G49" s="282"/>
      <c r="H49" s="282"/>
      <c r="I49" s="282"/>
      <c r="J49" s="388"/>
      <c r="K49" s="282"/>
    </row>
    <row r="50" spans="1:11" ht="16.5" customHeight="1">
      <c r="B50" s="305">
        <v>24</v>
      </c>
      <c r="C50" s="866" t="s">
        <v>454</v>
      </c>
      <c r="D50" s="777"/>
      <c r="E50" s="282"/>
      <c r="F50" s="282"/>
      <c r="G50" s="282"/>
      <c r="H50" s="282"/>
      <c r="I50" s="282"/>
      <c r="J50" s="388"/>
      <c r="K50" s="282"/>
    </row>
    <row r="51" spans="1:11" ht="16.5" customHeight="1">
      <c r="B51" s="305">
        <v>25</v>
      </c>
      <c r="C51" s="866" t="s">
        <v>455</v>
      </c>
      <c r="D51" s="777"/>
      <c r="E51" s="282"/>
      <c r="F51" s="282"/>
      <c r="G51" s="282"/>
      <c r="H51" s="282"/>
      <c r="I51" s="282"/>
      <c r="J51" s="388"/>
      <c r="K51" s="282"/>
    </row>
    <row r="52" spans="1:11" ht="16.5" customHeight="1">
      <c r="B52" s="305">
        <v>28</v>
      </c>
      <c r="C52" s="866" t="s">
        <v>123</v>
      </c>
      <c r="D52" s="777"/>
      <c r="E52" s="282"/>
      <c r="F52" s="282"/>
      <c r="G52" s="282"/>
      <c r="H52" s="282"/>
      <c r="I52" s="282"/>
      <c r="J52" s="388"/>
      <c r="K52" s="282"/>
    </row>
    <row r="53" spans="1:11" ht="16.5" customHeight="1">
      <c r="B53" s="305">
        <v>29</v>
      </c>
      <c r="C53" s="866" t="s">
        <v>151</v>
      </c>
      <c r="D53" s="777"/>
      <c r="E53" s="282"/>
      <c r="F53" s="282"/>
      <c r="G53" s="282"/>
      <c r="H53" s="282"/>
      <c r="I53" s="282"/>
      <c r="J53" s="388"/>
      <c r="K53" s="282"/>
    </row>
    <row r="54" spans="1:11" ht="16.5" customHeight="1">
      <c r="B54" s="305">
        <v>31</v>
      </c>
      <c r="C54" s="866" t="s">
        <v>1156</v>
      </c>
      <c r="D54" s="777"/>
      <c r="E54" s="282"/>
      <c r="F54" s="282"/>
      <c r="G54" s="282"/>
      <c r="H54" s="282"/>
      <c r="I54" s="282"/>
      <c r="J54" s="388"/>
      <c r="K54" s="282"/>
    </row>
    <row r="55" spans="1:11" ht="16.5" customHeight="1">
      <c r="B55" s="305">
        <v>45</v>
      </c>
      <c r="C55" s="866" t="s">
        <v>1157</v>
      </c>
      <c r="D55" s="777"/>
      <c r="E55" s="282"/>
      <c r="F55" s="282"/>
      <c r="G55" s="282"/>
      <c r="H55" s="282"/>
      <c r="I55" s="282"/>
      <c r="J55" s="388"/>
      <c r="K55" s="282"/>
    </row>
    <row r="56" spans="1:11" ht="16.5" customHeight="1">
      <c r="B56" s="305">
        <v>52</v>
      </c>
      <c r="C56" s="1080" t="s">
        <v>1158</v>
      </c>
      <c r="D56" s="777"/>
      <c r="E56" s="282"/>
      <c r="F56" s="282"/>
      <c r="G56" s="282"/>
      <c r="H56" s="282"/>
      <c r="I56" s="282"/>
      <c r="J56" s="388"/>
      <c r="K56" s="282"/>
    </row>
    <row r="57" spans="1:11" ht="16.5" customHeight="1">
      <c r="B57" s="305">
        <v>58</v>
      </c>
      <c r="C57" s="1706" t="s">
        <v>871</v>
      </c>
      <c r="D57" s="1707"/>
      <c r="E57" s="1707"/>
      <c r="F57" s="1081"/>
      <c r="G57" s="1081"/>
      <c r="H57" s="1081"/>
      <c r="I57" s="282"/>
      <c r="J57" s="388"/>
      <c r="K57" s="282"/>
    </row>
    <row r="58" spans="1:11" s="22" customFormat="1" ht="16.5" customHeight="1">
      <c r="B58" s="306">
        <v>95</v>
      </c>
      <c r="C58" s="1708" t="s">
        <v>872</v>
      </c>
      <c r="D58" s="1709"/>
      <c r="E58" s="1709"/>
      <c r="F58" s="1709"/>
      <c r="G58" s="1709"/>
      <c r="H58" s="1709"/>
      <c r="I58" s="771"/>
      <c r="J58" s="389"/>
      <c r="K58" s="282"/>
    </row>
    <row r="59" spans="1:11">
      <c r="B59" s="878" t="s">
        <v>124</v>
      </c>
      <c r="C59" s="55"/>
      <c r="D59" s="55"/>
      <c r="E59" s="55"/>
      <c r="F59" s="55"/>
      <c r="G59" s="76"/>
      <c r="H59" s="55"/>
      <c r="I59" s="55"/>
      <c r="J59" s="875" t="s">
        <v>152</v>
      </c>
    </row>
    <row r="60" spans="1:11">
      <c r="A60" s="55"/>
      <c r="B60" s="55"/>
      <c r="C60" s="55"/>
      <c r="D60" s="55"/>
      <c r="E60" s="55"/>
      <c r="F60" s="55"/>
      <c r="G60" s="55"/>
      <c r="H60" s="55"/>
      <c r="I60" s="55"/>
      <c r="J60" s="55"/>
      <c r="K60" s="55"/>
    </row>
  </sheetData>
  <mergeCells count="8">
    <mergeCell ref="C57:E57"/>
    <mergeCell ref="C58:H58"/>
    <mergeCell ref="C43:J43"/>
    <mergeCell ref="C36:J36"/>
    <mergeCell ref="A1:K1"/>
    <mergeCell ref="A2:K2"/>
    <mergeCell ref="A34:K34"/>
    <mergeCell ref="C40:J40"/>
  </mergeCells>
  <phoneticPr fontId="0" type="noConversion"/>
  <printOptions horizontalCentered="1"/>
  <pageMargins left="0.1" right="0.1" top="0.5" bottom="0.1" header="0.31" footer="0.1"/>
  <pageSetup paperSize="9" orientation="landscape" blackAndWhite="1" r:id="rId1"/>
  <headerFooter alignWithMargins="0"/>
</worksheet>
</file>

<file path=xl/worksheets/sheet56.xml><?xml version="1.0" encoding="utf-8"?>
<worksheet xmlns="http://schemas.openxmlformats.org/spreadsheetml/2006/main" xmlns:r="http://schemas.openxmlformats.org/officeDocument/2006/relationships">
  <sheetPr codeName="Sheet60"/>
  <dimension ref="A1:J25"/>
  <sheetViews>
    <sheetView workbookViewId="0">
      <selection activeCell="G16" sqref="G16"/>
    </sheetView>
  </sheetViews>
  <sheetFormatPr defaultRowHeight="12.75"/>
  <cols>
    <col min="1" max="1" width="20.85546875" customWidth="1"/>
    <col min="2" max="9" width="13.5703125" customWidth="1"/>
  </cols>
  <sheetData>
    <row r="1" spans="1:10" ht="17.25" customHeight="1">
      <c r="A1" s="1393" t="s">
        <v>456</v>
      </c>
      <c r="B1" s="1393"/>
      <c r="C1" s="1393"/>
      <c r="D1" s="1393"/>
      <c r="E1" s="1393"/>
      <c r="F1" s="1393"/>
      <c r="G1" s="1393"/>
      <c r="H1" s="1393"/>
      <c r="I1" s="1393"/>
    </row>
    <row r="2" spans="1:10" s="181" customFormat="1" ht="22.5" customHeight="1">
      <c r="A2" s="1311" t="str">
        <f>CONCATENATE("Production in Sericulture Industry in the district of ",District!A1)</f>
        <v>Production in Sericulture Industry in the district of Jalpaiguri</v>
      </c>
      <c r="B2" s="1311"/>
      <c r="C2" s="1311"/>
      <c r="D2" s="1311"/>
      <c r="E2" s="1311"/>
      <c r="F2" s="1311"/>
      <c r="G2" s="1311"/>
      <c r="H2" s="1311"/>
      <c r="I2" s="1311"/>
      <c r="J2" s="25"/>
    </row>
    <row r="3" spans="1:10" ht="11.25" customHeight="1">
      <c r="B3" s="28"/>
      <c r="C3" s="28"/>
      <c r="D3" s="28"/>
      <c r="E3" s="28"/>
      <c r="F3" s="21"/>
      <c r="G3" s="21"/>
      <c r="H3" s="25"/>
      <c r="I3" s="25"/>
      <c r="J3" s="25"/>
    </row>
    <row r="4" spans="1:10" ht="28.5" customHeight="1">
      <c r="A4" s="1288" t="s">
        <v>98</v>
      </c>
      <c r="B4" s="1445" t="s">
        <v>1142</v>
      </c>
      <c r="C4" s="1444"/>
      <c r="D4" s="1444"/>
      <c r="E4" s="1446"/>
      <c r="F4" s="1444" t="s">
        <v>1402</v>
      </c>
      <c r="G4" s="1444"/>
      <c r="H4" s="1444"/>
      <c r="I4" s="1446"/>
      <c r="J4" s="7"/>
    </row>
    <row r="5" spans="1:10" ht="52.5" customHeight="1">
      <c r="A5" s="1301"/>
      <c r="B5" s="447" t="s">
        <v>1504</v>
      </c>
      <c r="C5" s="656" t="s">
        <v>160</v>
      </c>
      <c r="D5" s="447" t="s">
        <v>161</v>
      </c>
      <c r="E5" s="630" t="s">
        <v>162</v>
      </c>
      <c r="F5" s="362" t="s">
        <v>1505</v>
      </c>
      <c r="G5" s="406" t="s">
        <v>1143</v>
      </c>
      <c r="H5" s="672" t="s">
        <v>1144</v>
      </c>
      <c r="I5" s="673" t="s">
        <v>1506</v>
      </c>
      <c r="J5" s="7"/>
    </row>
    <row r="6" spans="1:10" ht="26.25" customHeight="1">
      <c r="A6" s="57" t="s">
        <v>278</v>
      </c>
      <c r="B6" s="57" t="s">
        <v>279</v>
      </c>
      <c r="C6" s="87" t="s">
        <v>280</v>
      </c>
      <c r="D6" s="57" t="s">
        <v>281</v>
      </c>
      <c r="E6" s="58" t="s">
        <v>282</v>
      </c>
      <c r="F6" s="92" t="s">
        <v>283</v>
      </c>
      <c r="G6" s="57" t="s">
        <v>284</v>
      </c>
      <c r="H6" s="57" t="s">
        <v>301</v>
      </c>
      <c r="I6" s="58" t="s">
        <v>302</v>
      </c>
      <c r="J6" s="26"/>
    </row>
    <row r="7" spans="1:10" ht="30" customHeight="1">
      <c r="A7" s="298" t="s">
        <v>1110</v>
      </c>
      <c r="B7" s="438">
        <v>8.3000000000000007</v>
      </c>
      <c r="C7" s="225" t="s">
        <v>570</v>
      </c>
      <c r="D7" s="646">
        <v>17.292000000000002</v>
      </c>
      <c r="E7" s="975">
        <v>2.8000000000000001E-2</v>
      </c>
      <c r="F7" s="867">
        <v>1245</v>
      </c>
      <c r="G7" s="225" t="s">
        <v>570</v>
      </c>
      <c r="H7" s="867">
        <v>2213</v>
      </c>
      <c r="I7" s="176">
        <v>36.39</v>
      </c>
    </row>
    <row r="8" spans="1:10" ht="30" customHeight="1">
      <c r="A8" s="298" t="s">
        <v>1111</v>
      </c>
      <c r="B8" s="438">
        <v>8.48</v>
      </c>
      <c r="C8" s="225" t="s">
        <v>570</v>
      </c>
      <c r="D8" s="646">
        <v>17.55</v>
      </c>
      <c r="E8" s="975">
        <v>6.0999999999999999E-2</v>
      </c>
      <c r="F8" s="867">
        <v>1272</v>
      </c>
      <c r="G8" s="225" t="s">
        <v>570</v>
      </c>
      <c r="H8" s="867">
        <v>2358</v>
      </c>
      <c r="I8" s="176">
        <v>78.760000000000005</v>
      </c>
    </row>
    <row r="9" spans="1:10" ht="30" customHeight="1">
      <c r="A9" s="298" t="s">
        <v>641</v>
      </c>
      <c r="B9" s="438">
        <v>8.75</v>
      </c>
      <c r="C9" s="225" t="s">
        <v>570</v>
      </c>
      <c r="D9" s="646">
        <v>25.01</v>
      </c>
      <c r="E9" s="975">
        <v>6.3E-2</v>
      </c>
      <c r="F9" s="867">
        <v>1751</v>
      </c>
      <c r="G9" s="225" t="s">
        <v>570</v>
      </c>
      <c r="H9" s="867">
        <v>4269</v>
      </c>
      <c r="I9" s="176">
        <v>81</v>
      </c>
    </row>
    <row r="10" spans="1:10" ht="30" customHeight="1">
      <c r="A10" s="298" t="s">
        <v>909</v>
      </c>
      <c r="B10" s="438">
        <v>8</v>
      </c>
      <c r="C10" s="225" t="s">
        <v>570</v>
      </c>
      <c r="D10" s="646">
        <v>11.489000000000001</v>
      </c>
      <c r="E10" s="975">
        <v>3.2499999999999999E-3</v>
      </c>
      <c r="F10" s="867">
        <v>2000</v>
      </c>
      <c r="G10" s="225" t="s">
        <v>570</v>
      </c>
      <c r="H10" s="867">
        <v>1960.8</v>
      </c>
      <c r="I10" s="176">
        <v>6</v>
      </c>
      <c r="J10" s="7"/>
    </row>
    <row r="11" spans="1:10" ht="30" customHeight="1">
      <c r="A11" s="299" t="s">
        <v>895</v>
      </c>
      <c r="B11" s="439">
        <v>7.11</v>
      </c>
      <c r="C11" s="244" t="s">
        <v>570</v>
      </c>
      <c r="D11" s="752">
        <v>13.14</v>
      </c>
      <c r="E11" s="977">
        <v>3.3000000000000002E-2</v>
      </c>
      <c r="F11" s="868">
        <v>2488</v>
      </c>
      <c r="G11" s="244" t="s">
        <v>570</v>
      </c>
      <c r="H11" s="868">
        <v>2070</v>
      </c>
      <c r="I11" s="963">
        <v>43</v>
      </c>
      <c r="J11" s="7"/>
    </row>
    <row r="12" spans="1:10" ht="12" customHeight="1">
      <c r="A12" s="1716" t="s">
        <v>619</v>
      </c>
      <c r="B12" s="1717"/>
      <c r="C12" s="1717"/>
      <c r="D12" s="694"/>
      <c r="F12" s="1210"/>
      <c r="G12" s="1210"/>
      <c r="H12" s="1210"/>
      <c r="I12" s="861" t="s">
        <v>153</v>
      </c>
    </row>
    <row r="13" spans="1:10" ht="12" customHeight="1">
      <c r="A13" s="1718"/>
      <c r="B13" s="1718"/>
      <c r="C13" s="1718"/>
      <c r="F13" s="30"/>
      <c r="G13" s="30"/>
    </row>
    <row r="22" ht="12" customHeight="1"/>
    <row r="25" ht="13.5" customHeight="1"/>
  </sheetData>
  <mergeCells count="6">
    <mergeCell ref="A12:C13"/>
    <mergeCell ref="A1:I1"/>
    <mergeCell ref="A4:A5"/>
    <mergeCell ref="B4:E4"/>
    <mergeCell ref="F4:I4"/>
    <mergeCell ref="A2:I2"/>
  </mergeCells>
  <phoneticPr fontId="0" type="noConversion"/>
  <printOptions horizontalCentered="1"/>
  <pageMargins left="0.1" right="0.1" top="0.83" bottom="0.1" header="0.5" footer="0.1"/>
  <pageSetup paperSize="9" orientation="landscape" blackAndWhite="1" r:id="rId1"/>
  <headerFooter alignWithMargins="0"/>
</worksheet>
</file>

<file path=xl/worksheets/sheet57.xml><?xml version="1.0" encoding="utf-8"?>
<worksheet xmlns="http://schemas.openxmlformats.org/spreadsheetml/2006/main" xmlns:r="http://schemas.openxmlformats.org/officeDocument/2006/relationships">
  <sheetPr codeName="Sheet61"/>
  <dimension ref="A3:L21"/>
  <sheetViews>
    <sheetView topLeftCell="B4" workbookViewId="0">
      <selection activeCell="G16" sqref="G16"/>
    </sheetView>
  </sheetViews>
  <sheetFormatPr defaultRowHeight="12.75"/>
  <cols>
    <col min="1" max="1" width="1.42578125" hidden="1" customWidth="1"/>
    <col min="2" max="2" width="3.7109375" customWidth="1"/>
    <col min="3" max="3" width="31.85546875" customWidth="1"/>
    <col min="4" max="7" width="15.7109375" customWidth="1"/>
    <col min="8" max="8" width="16.85546875" customWidth="1"/>
    <col min="9" max="9" width="14.85546875" customWidth="1"/>
  </cols>
  <sheetData>
    <row r="3" spans="2:12" ht="15.75" customHeight="1">
      <c r="B3" s="1719" t="s">
        <v>457</v>
      </c>
      <c r="C3" s="1719"/>
      <c r="D3" s="1719"/>
      <c r="E3" s="1719"/>
      <c r="F3" s="1719"/>
      <c r="G3" s="1719"/>
      <c r="H3" s="1719"/>
    </row>
    <row r="4" spans="2:12" ht="20.25" customHeight="1">
      <c r="B4" s="1720" t="str">
        <f>CONCATENATE("Employment in Registered Factories and State Government Offices in the district of ",District!$A$1)</f>
        <v>Employment in Registered Factories and State Government Offices in the district of Jalpaiguri</v>
      </c>
      <c r="C4" s="1720"/>
      <c r="D4" s="1720"/>
      <c r="E4" s="1720"/>
      <c r="F4" s="1720"/>
      <c r="G4" s="1720"/>
      <c r="H4" s="1720"/>
      <c r="I4" s="33"/>
      <c r="J4" s="33"/>
      <c r="K4" s="33"/>
      <c r="L4" s="25"/>
    </row>
    <row r="5" spans="2:12" s="832" customFormat="1" ht="12" customHeight="1">
      <c r="B5" s="1177"/>
      <c r="C5" s="1177"/>
      <c r="E5" s="833"/>
      <c r="F5" s="833"/>
      <c r="G5" s="833"/>
      <c r="H5" s="1082" t="s">
        <v>312</v>
      </c>
      <c r="I5" s="834"/>
      <c r="J5" s="835"/>
      <c r="K5" s="835"/>
      <c r="L5" s="835"/>
    </row>
    <row r="6" spans="2:12" s="713" customFormat="1" ht="27" customHeight="1">
      <c r="B6" s="1723" t="s">
        <v>1146</v>
      </c>
      <c r="C6" s="1724"/>
      <c r="D6" s="826">
        <v>2010</v>
      </c>
      <c r="E6" s="256">
        <v>2011</v>
      </c>
      <c r="F6" s="826">
        <v>2012</v>
      </c>
      <c r="G6" s="256">
        <v>2013</v>
      </c>
      <c r="H6" s="256">
        <v>2014</v>
      </c>
      <c r="I6" s="836"/>
      <c r="J6" s="836"/>
      <c r="K6" s="836"/>
      <c r="L6" s="837"/>
    </row>
    <row r="7" spans="2:12" s="601" customFormat="1" ht="25.5" customHeight="1">
      <c r="B7" s="1721" t="s">
        <v>278</v>
      </c>
      <c r="C7" s="1722"/>
      <c r="D7" s="707" t="s">
        <v>279</v>
      </c>
      <c r="E7" s="711" t="s">
        <v>280</v>
      </c>
      <c r="F7" s="707" t="s">
        <v>281</v>
      </c>
      <c r="G7" s="710" t="s">
        <v>282</v>
      </c>
      <c r="H7" s="707" t="s">
        <v>283</v>
      </c>
      <c r="I7" s="838"/>
      <c r="J7" s="839"/>
      <c r="K7" s="839"/>
      <c r="L7" s="839"/>
    </row>
    <row r="8" spans="2:12" ht="42.75" customHeight="1">
      <c r="B8" s="840" t="s">
        <v>927</v>
      </c>
      <c r="C8" s="841" t="s">
        <v>125</v>
      </c>
      <c r="D8" s="764"/>
      <c r="E8" s="7"/>
      <c r="F8" s="764"/>
      <c r="G8" s="842"/>
      <c r="H8" s="764"/>
      <c r="I8" s="7"/>
      <c r="J8" s="7"/>
      <c r="K8" s="7"/>
    </row>
    <row r="9" spans="2:12" ht="35.25" customHeight="1">
      <c r="B9" s="843"/>
      <c r="C9" s="514" t="s">
        <v>1396</v>
      </c>
      <c r="D9" s="52">
        <v>532</v>
      </c>
      <c r="E9" s="52">
        <v>534</v>
      </c>
      <c r="F9" s="52">
        <v>540</v>
      </c>
      <c r="G9" s="52" t="s">
        <v>27</v>
      </c>
      <c r="H9" s="52" t="s">
        <v>1573</v>
      </c>
      <c r="J9" s="7"/>
      <c r="K9" s="7"/>
    </row>
    <row r="10" spans="2:12" ht="47.25" customHeight="1">
      <c r="B10" s="843"/>
      <c r="C10" s="514" t="s">
        <v>1397</v>
      </c>
      <c r="D10" s="52">
        <v>30174</v>
      </c>
      <c r="E10" s="52">
        <v>30814</v>
      </c>
      <c r="F10" s="52">
        <v>31191</v>
      </c>
      <c r="G10" s="52" t="s">
        <v>28</v>
      </c>
      <c r="H10" s="52" t="s">
        <v>1574</v>
      </c>
      <c r="J10" s="7"/>
      <c r="K10" s="7"/>
    </row>
    <row r="11" spans="2:12" ht="58.5" customHeight="1">
      <c r="B11" s="844" t="s">
        <v>56</v>
      </c>
      <c r="C11" s="1131" t="s">
        <v>1575</v>
      </c>
      <c r="D11" s="427" t="s">
        <v>117</v>
      </c>
      <c r="E11" s="427">
        <v>15962</v>
      </c>
      <c r="F11" s="427" t="s">
        <v>117</v>
      </c>
      <c r="G11" s="427">
        <v>14459</v>
      </c>
      <c r="H11" s="427">
        <v>14011</v>
      </c>
      <c r="J11" s="7"/>
      <c r="K11" s="7"/>
    </row>
    <row r="12" spans="2:12" ht="12" customHeight="1">
      <c r="B12" s="1132"/>
      <c r="C12" s="846"/>
      <c r="D12" s="847"/>
      <c r="F12" s="848" t="s">
        <v>80</v>
      </c>
      <c r="G12" s="849" t="s">
        <v>58</v>
      </c>
      <c r="H12" s="849"/>
      <c r="I12" s="7"/>
      <c r="J12" s="7"/>
      <c r="K12" s="7"/>
    </row>
    <row r="13" spans="2:12" ht="12" customHeight="1">
      <c r="B13" s="845"/>
      <c r="C13" s="846"/>
      <c r="D13" s="850"/>
      <c r="E13" s="849"/>
      <c r="F13" s="1083" t="s">
        <v>81</v>
      </c>
      <c r="G13" s="849" t="s">
        <v>59</v>
      </c>
      <c r="H13" s="849"/>
      <c r="I13" s="7"/>
      <c r="J13" s="7"/>
      <c r="K13" s="7"/>
    </row>
    <row r="14" spans="2:12" ht="12.75" customHeight="1">
      <c r="B14" s="852"/>
      <c r="C14" s="852"/>
      <c r="D14" s="852"/>
      <c r="E14" s="849"/>
      <c r="F14" s="849"/>
      <c r="G14" s="853"/>
      <c r="H14" s="849"/>
      <c r="I14" s="7"/>
      <c r="J14" s="7"/>
      <c r="K14" s="7"/>
    </row>
    <row r="15" spans="2:12" ht="12.75" customHeight="1">
      <c r="B15" s="852"/>
      <c r="C15" s="852"/>
      <c r="D15" s="852"/>
      <c r="E15" s="849"/>
      <c r="F15" s="854"/>
      <c r="G15" s="831"/>
      <c r="H15" s="831"/>
      <c r="I15" s="7"/>
      <c r="J15" s="7"/>
      <c r="K15" s="7"/>
    </row>
    <row r="16" spans="2:12" ht="12" customHeight="1">
      <c r="B16" s="852"/>
      <c r="C16" s="852"/>
      <c r="D16" s="852"/>
      <c r="E16" s="847"/>
      <c r="F16" s="831"/>
      <c r="G16" s="831"/>
      <c r="H16" s="831"/>
      <c r="I16" s="7"/>
      <c r="J16" s="7"/>
      <c r="K16" s="7"/>
    </row>
    <row r="17" spans="3:12" ht="18" customHeight="1">
      <c r="C17" s="20"/>
      <c r="D17" s="7"/>
      <c r="E17" s="7"/>
      <c r="F17" s="7"/>
      <c r="G17" s="7"/>
      <c r="H17" s="7"/>
      <c r="I17" s="7"/>
      <c r="J17" s="7"/>
      <c r="K17" s="7"/>
    </row>
    <row r="18" spans="3:12" ht="18" customHeight="1">
      <c r="C18" s="20"/>
      <c r="D18" s="7"/>
      <c r="E18" s="7"/>
      <c r="F18" s="7"/>
      <c r="G18" s="7"/>
      <c r="H18" s="7"/>
      <c r="I18" s="7"/>
      <c r="J18" s="7"/>
      <c r="K18" s="7"/>
    </row>
    <row r="19" spans="3:12" ht="18" customHeight="1">
      <c r="C19" s="8"/>
      <c r="D19" s="7"/>
      <c r="E19" s="7"/>
      <c r="F19" s="7"/>
      <c r="G19" s="7"/>
      <c r="H19" s="7"/>
      <c r="I19" s="7"/>
      <c r="J19" s="7"/>
      <c r="K19" s="7"/>
      <c r="L19" s="7"/>
    </row>
    <row r="20" spans="3:12">
      <c r="C20" s="12"/>
      <c r="D20" s="30"/>
      <c r="E20" s="16"/>
      <c r="F20" s="16"/>
      <c r="G20" s="16"/>
      <c r="I20" s="16"/>
    </row>
    <row r="21" spans="3:12">
      <c r="D21" s="30"/>
      <c r="E21" s="30"/>
      <c r="F21" s="30"/>
      <c r="G21" s="30"/>
      <c r="H21" s="30"/>
      <c r="I21" s="30"/>
    </row>
  </sheetData>
  <mergeCells count="4">
    <mergeCell ref="B3:H3"/>
    <mergeCell ref="B4:H4"/>
    <mergeCell ref="B7:C7"/>
    <mergeCell ref="B6:C6"/>
  </mergeCells>
  <phoneticPr fontId="0" type="noConversion"/>
  <conditionalFormatting sqref="A1:B1048576 H1:IV1048576 C1:G5 C7:G65536 D6:G6">
    <cfRule type="cellIs" dxfId="5" priority="1" stopIfTrue="1" operator="equal">
      <formula>".."</formula>
    </cfRule>
  </conditionalFormatting>
  <printOptions horizontalCentered="1"/>
  <pageMargins left="0.39" right="0.1" top="0.95" bottom="0.1" header="0.5" footer="0.1"/>
  <pageSetup paperSize="9" orientation="landscape" blackAndWhite="1" r:id="rId1"/>
  <headerFooter alignWithMargins="0"/>
</worksheet>
</file>

<file path=xl/worksheets/sheet58.xml><?xml version="1.0" encoding="utf-8"?>
<worksheet xmlns="http://schemas.openxmlformats.org/spreadsheetml/2006/main" xmlns:r="http://schemas.openxmlformats.org/officeDocument/2006/relationships">
  <sheetPr codeName="Sheet63"/>
  <dimension ref="A1:N31"/>
  <sheetViews>
    <sheetView workbookViewId="0">
      <selection activeCell="O16" sqref="O16"/>
    </sheetView>
  </sheetViews>
  <sheetFormatPr defaultRowHeight="12.75"/>
  <cols>
    <col min="1" max="1" width="12" customWidth="1"/>
    <col min="2" max="2" width="10" customWidth="1"/>
    <col min="3" max="3" width="10.140625" customWidth="1"/>
    <col min="4" max="4" width="10.42578125" customWidth="1"/>
    <col min="5" max="5" width="9.85546875" customWidth="1"/>
    <col min="6" max="6" width="10.140625" customWidth="1"/>
    <col min="7" max="7" width="10.5703125" customWidth="1"/>
    <col min="8" max="9" width="10" customWidth="1"/>
    <col min="10" max="10" width="10.140625" customWidth="1"/>
    <col min="11" max="11" width="9.85546875" customWidth="1"/>
    <col min="12" max="13" width="10.42578125" customWidth="1"/>
  </cols>
  <sheetData>
    <row r="1" spans="1:13" ht="12.75" customHeight="1">
      <c r="A1" s="1725" t="s">
        <v>458</v>
      </c>
      <c r="B1" s="1725"/>
      <c r="C1" s="1725"/>
      <c r="D1" s="1725"/>
      <c r="E1" s="1725"/>
      <c r="F1" s="1725"/>
      <c r="G1" s="1725"/>
      <c r="H1" s="1725"/>
      <c r="I1" s="1725"/>
      <c r="J1" s="1725"/>
      <c r="K1" s="1725"/>
      <c r="L1" s="1725"/>
      <c r="M1" s="1725"/>
    </row>
    <row r="2" spans="1:13" ht="14.25" customHeight="1">
      <c r="A2" s="1745" t="str">
        <f>CONCATENATE("Number of Establishments in rural and urban areas in the district of ",District!A1)</f>
        <v>Number of Establishments in rural and urban areas in the district of Jalpaiguri</v>
      </c>
      <c r="B2" s="1745"/>
      <c r="C2" s="1745"/>
      <c r="D2" s="1745"/>
      <c r="E2" s="1745"/>
      <c r="F2" s="1745"/>
      <c r="G2" s="1745"/>
      <c r="H2" s="1745"/>
      <c r="I2" s="1745"/>
      <c r="J2" s="1745"/>
      <c r="K2" s="1745"/>
      <c r="L2" s="1745"/>
      <c r="M2" s="1745"/>
    </row>
    <row r="3" spans="1:13" s="705" customFormat="1" ht="19.5" customHeight="1">
      <c r="A3" s="1746" t="s">
        <v>1145</v>
      </c>
      <c r="B3" s="1736" t="s">
        <v>66</v>
      </c>
      <c r="C3" s="1736"/>
      <c r="D3" s="1736"/>
      <c r="E3" s="1737"/>
      <c r="F3" s="1735" t="s">
        <v>67</v>
      </c>
      <c r="G3" s="1736"/>
      <c r="H3" s="1736"/>
      <c r="I3" s="1737"/>
      <c r="J3" s="1440" t="s">
        <v>583</v>
      </c>
      <c r="K3" s="1440"/>
      <c r="L3" s="1440"/>
      <c r="M3" s="1441"/>
    </row>
    <row r="4" spans="1:13" s="706" customFormat="1" ht="19.5" customHeight="1">
      <c r="A4" s="1747"/>
      <c r="B4" s="1748">
        <v>2005</v>
      </c>
      <c r="C4" s="1749"/>
      <c r="D4" s="1748">
        <v>2013</v>
      </c>
      <c r="E4" s="1749"/>
      <c r="F4" s="1748">
        <v>2005</v>
      </c>
      <c r="G4" s="1749"/>
      <c r="H4" s="1748">
        <v>2013</v>
      </c>
      <c r="I4" s="1749"/>
      <c r="J4" s="1748">
        <v>2005</v>
      </c>
      <c r="K4" s="1749"/>
      <c r="L4" s="1748">
        <v>2013</v>
      </c>
      <c r="M4" s="1749"/>
    </row>
    <row r="5" spans="1:13" s="72" customFormat="1" ht="27" customHeight="1">
      <c r="A5" s="1747"/>
      <c r="B5" s="1117" t="s">
        <v>1323</v>
      </c>
      <c r="C5" s="1118" t="s">
        <v>1148</v>
      </c>
      <c r="D5" s="1117" t="s">
        <v>1323</v>
      </c>
      <c r="E5" s="1118" t="s">
        <v>1148</v>
      </c>
      <c r="F5" s="1117" t="s">
        <v>1323</v>
      </c>
      <c r="G5" s="1118" t="s">
        <v>1148</v>
      </c>
      <c r="H5" s="1117" t="s">
        <v>1323</v>
      </c>
      <c r="I5" s="1129" t="s">
        <v>1148</v>
      </c>
      <c r="J5" s="1117" t="s">
        <v>1323</v>
      </c>
      <c r="K5" s="1118" t="s">
        <v>1148</v>
      </c>
      <c r="L5" s="1117" t="s">
        <v>1323</v>
      </c>
      <c r="M5" s="1118" t="s">
        <v>1148</v>
      </c>
    </row>
    <row r="6" spans="1:13" s="601" customFormat="1" ht="15.75" customHeight="1">
      <c r="A6" s="707" t="s">
        <v>278</v>
      </c>
      <c r="B6" s="708" t="s">
        <v>279</v>
      </c>
      <c r="C6" s="709" t="s">
        <v>280</v>
      </c>
      <c r="D6" s="708" t="s">
        <v>281</v>
      </c>
      <c r="E6" s="709" t="s">
        <v>282</v>
      </c>
      <c r="F6" s="710" t="s">
        <v>283</v>
      </c>
      <c r="G6" s="709" t="s">
        <v>284</v>
      </c>
      <c r="H6" s="708" t="s">
        <v>301</v>
      </c>
      <c r="I6" s="709" t="s">
        <v>302</v>
      </c>
      <c r="J6" s="711" t="s">
        <v>303</v>
      </c>
      <c r="K6" s="712" t="s">
        <v>304</v>
      </c>
      <c r="L6" s="711" t="s">
        <v>344</v>
      </c>
      <c r="M6" s="712" t="s">
        <v>345</v>
      </c>
    </row>
    <row r="7" spans="1:13" s="601" customFormat="1" ht="18.75" customHeight="1">
      <c r="A7" s="91" t="s">
        <v>335</v>
      </c>
      <c r="B7" s="148">
        <v>1479</v>
      </c>
      <c r="C7" s="149">
        <v>26409</v>
      </c>
      <c r="D7" s="148">
        <v>1271</v>
      </c>
      <c r="E7" s="149">
        <v>21759</v>
      </c>
      <c r="F7" s="147">
        <v>10814</v>
      </c>
      <c r="G7" s="149">
        <v>82612</v>
      </c>
      <c r="H7" s="148">
        <v>38145</v>
      </c>
      <c r="I7" s="149">
        <v>125508</v>
      </c>
      <c r="J7" s="31">
        <f t="shared" ref="J7:M8" si="0">SUM(B7,F7)</f>
        <v>12293</v>
      </c>
      <c r="K7" s="48">
        <f t="shared" si="0"/>
        <v>109021</v>
      </c>
      <c r="L7" s="31">
        <f t="shared" si="0"/>
        <v>39416</v>
      </c>
      <c r="M7" s="48">
        <f t="shared" si="0"/>
        <v>147267</v>
      </c>
    </row>
    <row r="8" spans="1:13" ht="18.75" customHeight="1">
      <c r="A8" s="91" t="s">
        <v>334</v>
      </c>
      <c r="B8" s="148">
        <v>174</v>
      </c>
      <c r="C8" s="149">
        <v>15268</v>
      </c>
      <c r="D8" s="148">
        <v>490</v>
      </c>
      <c r="E8" s="149">
        <v>25759</v>
      </c>
      <c r="F8" s="147">
        <v>636</v>
      </c>
      <c r="G8" s="149">
        <v>20731</v>
      </c>
      <c r="H8" s="148">
        <v>6343</v>
      </c>
      <c r="I8" s="149">
        <v>92691</v>
      </c>
      <c r="J8" s="31">
        <f t="shared" si="0"/>
        <v>810</v>
      </c>
      <c r="K8" s="48">
        <f t="shared" si="0"/>
        <v>35999</v>
      </c>
      <c r="L8" s="31">
        <f t="shared" si="0"/>
        <v>6833</v>
      </c>
      <c r="M8" s="48">
        <f t="shared" si="0"/>
        <v>118450</v>
      </c>
    </row>
    <row r="9" spans="1:13" ht="18.75" customHeight="1">
      <c r="A9" s="275" t="s">
        <v>300</v>
      </c>
      <c r="B9" s="158">
        <f>SUM(B7:B8)</f>
        <v>1653</v>
      </c>
      <c r="C9" s="43">
        <f>SUM(C7:C8)</f>
        <v>41677</v>
      </c>
      <c r="D9" s="158">
        <f t="shared" ref="D9:M9" si="1">SUM(D7:D8)</f>
        <v>1761</v>
      </c>
      <c r="E9" s="43">
        <f t="shared" si="1"/>
        <v>47518</v>
      </c>
      <c r="F9" s="158">
        <f t="shared" si="1"/>
        <v>11450</v>
      </c>
      <c r="G9" s="43">
        <f t="shared" si="1"/>
        <v>103343</v>
      </c>
      <c r="H9" s="158">
        <f t="shared" si="1"/>
        <v>44488</v>
      </c>
      <c r="I9" s="43">
        <f t="shared" si="1"/>
        <v>218199</v>
      </c>
      <c r="J9" s="158">
        <f t="shared" si="1"/>
        <v>13103</v>
      </c>
      <c r="K9" s="43">
        <f t="shared" si="1"/>
        <v>145020</v>
      </c>
      <c r="L9" s="158">
        <f t="shared" si="1"/>
        <v>46249</v>
      </c>
      <c r="M9" s="43">
        <f t="shared" si="1"/>
        <v>265717</v>
      </c>
    </row>
    <row r="10" spans="1:13">
      <c r="J10" s="713"/>
      <c r="K10" s="713"/>
      <c r="L10" s="713"/>
      <c r="M10" s="938" t="s">
        <v>1569</v>
      </c>
    </row>
    <row r="11" spans="1:13" ht="9.75" customHeight="1">
      <c r="J11" s="713"/>
      <c r="K11" s="713"/>
      <c r="L11" s="713"/>
      <c r="M11" s="714"/>
    </row>
    <row r="12" spans="1:13">
      <c r="A12" s="1725" t="s">
        <v>459</v>
      </c>
      <c r="B12" s="1725"/>
      <c r="C12" s="1725"/>
      <c r="D12" s="1725"/>
      <c r="E12" s="1725"/>
      <c r="F12" s="1725"/>
      <c r="G12" s="1725"/>
      <c r="H12" s="1725"/>
      <c r="I12" s="1725"/>
      <c r="J12" s="1725"/>
      <c r="K12" s="1725"/>
      <c r="L12" s="1725"/>
      <c r="M12" s="1725"/>
    </row>
    <row r="13" spans="1:13" ht="14.25" customHeight="1">
      <c r="A13" s="1745" t="str">
        <f>CONCATENATE("Number of Persons usually working in rural and urban Establishments in the district of ",District!A1)</f>
        <v>Number of Persons usually working in rural and urban Establishments in the district of Jalpaiguri</v>
      </c>
      <c r="B13" s="1745"/>
      <c r="C13" s="1745"/>
      <c r="D13" s="1745"/>
      <c r="E13" s="1745"/>
      <c r="F13" s="1745"/>
      <c r="G13" s="1745"/>
      <c r="H13" s="1745"/>
      <c r="I13" s="1745"/>
      <c r="J13" s="1745"/>
      <c r="K13" s="1745"/>
      <c r="L13" s="1745"/>
      <c r="M13" s="1745"/>
    </row>
    <row r="14" spans="1:13" s="706" customFormat="1" ht="17.25" customHeight="1">
      <c r="A14" s="1746" t="s">
        <v>1145</v>
      </c>
      <c r="B14" s="1736" t="s">
        <v>66</v>
      </c>
      <c r="C14" s="1736"/>
      <c r="D14" s="1736"/>
      <c r="E14" s="1737"/>
      <c r="F14" s="1735" t="s">
        <v>67</v>
      </c>
      <c r="G14" s="1736"/>
      <c r="H14" s="1736"/>
      <c r="I14" s="1737"/>
      <c r="J14" s="1440" t="s">
        <v>583</v>
      </c>
      <c r="K14" s="1440"/>
      <c r="L14" s="1440"/>
      <c r="M14" s="1441"/>
    </row>
    <row r="15" spans="1:13" s="706" customFormat="1" ht="17.25" customHeight="1">
      <c r="A15" s="1747"/>
      <c r="B15" s="1748">
        <v>2005</v>
      </c>
      <c r="C15" s="1749"/>
      <c r="D15" s="1748">
        <v>2013</v>
      </c>
      <c r="E15" s="1749"/>
      <c r="F15" s="1748">
        <v>2005</v>
      </c>
      <c r="G15" s="1749"/>
      <c r="H15" s="1748">
        <v>2013</v>
      </c>
      <c r="I15" s="1749"/>
      <c r="J15" s="1748">
        <v>2005</v>
      </c>
      <c r="K15" s="1749"/>
      <c r="L15" s="1748">
        <v>2013</v>
      </c>
      <c r="M15" s="1749"/>
    </row>
    <row r="16" spans="1:13" s="72" customFormat="1" ht="29.25" customHeight="1">
      <c r="A16" s="1747"/>
      <c r="B16" s="1117" t="s">
        <v>1323</v>
      </c>
      <c r="C16" s="1118" t="s">
        <v>1148</v>
      </c>
      <c r="D16" s="1117" t="s">
        <v>1323</v>
      </c>
      <c r="E16" s="1118" t="s">
        <v>1148</v>
      </c>
      <c r="F16" s="1117" t="s">
        <v>1323</v>
      </c>
      <c r="G16" s="1118" t="s">
        <v>1148</v>
      </c>
      <c r="H16" s="1117" t="s">
        <v>1323</v>
      </c>
      <c r="I16" s="1129" t="s">
        <v>1148</v>
      </c>
      <c r="J16" s="1117" t="s">
        <v>1323</v>
      </c>
      <c r="K16" s="1118" t="s">
        <v>1148</v>
      </c>
      <c r="L16" s="1117" t="s">
        <v>1323</v>
      </c>
      <c r="M16" s="1118" t="s">
        <v>1148</v>
      </c>
    </row>
    <row r="17" spans="1:14" s="601" customFormat="1" ht="19.5" customHeight="1">
      <c r="A17" s="707" t="s">
        <v>278</v>
      </c>
      <c r="B17" s="708" t="s">
        <v>279</v>
      </c>
      <c r="C17" s="709" t="s">
        <v>280</v>
      </c>
      <c r="D17" s="708" t="s">
        <v>281</v>
      </c>
      <c r="E17" s="709" t="s">
        <v>282</v>
      </c>
      <c r="F17" s="710" t="s">
        <v>283</v>
      </c>
      <c r="G17" s="709" t="s">
        <v>284</v>
      </c>
      <c r="H17" s="708" t="s">
        <v>301</v>
      </c>
      <c r="I17" s="709" t="s">
        <v>302</v>
      </c>
      <c r="J17" s="711" t="s">
        <v>303</v>
      </c>
      <c r="K17" s="712" t="s">
        <v>304</v>
      </c>
      <c r="L17" s="711" t="s">
        <v>344</v>
      </c>
      <c r="M17" s="712" t="s">
        <v>345</v>
      </c>
    </row>
    <row r="18" spans="1:14" s="601" customFormat="1" ht="18.75" customHeight="1">
      <c r="A18" s="91" t="s">
        <v>335</v>
      </c>
      <c r="B18" s="148">
        <v>9914</v>
      </c>
      <c r="C18" s="149">
        <v>130038</v>
      </c>
      <c r="D18" s="148">
        <v>10429</v>
      </c>
      <c r="E18" s="149">
        <v>108295</v>
      </c>
      <c r="F18" s="148">
        <v>15152</v>
      </c>
      <c r="G18" s="1242">
        <v>97607</v>
      </c>
      <c r="H18" s="148">
        <v>48291</v>
      </c>
      <c r="I18" s="1242">
        <v>143472</v>
      </c>
      <c r="J18" s="31">
        <f t="shared" ref="J18:M19" si="2">SUM(B18,F18)</f>
        <v>25066</v>
      </c>
      <c r="K18" s="48">
        <f t="shared" si="2"/>
        <v>227645</v>
      </c>
      <c r="L18" s="31">
        <f t="shared" si="2"/>
        <v>58720</v>
      </c>
      <c r="M18" s="48">
        <f t="shared" si="2"/>
        <v>251767</v>
      </c>
    </row>
    <row r="19" spans="1:14" ht="18.75" customHeight="1">
      <c r="A19" s="91" t="s">
        <v>334</v>
      </c>
      <c r="B19" s="148">
        <v>591</v>
      </c>
      <c r="C19" s="149">
        <v>82889</v>
      </c>
      <c r="D19" s="148">
        <v>1499</v>
      </c>
      <c r="E19" s="149">
        <v>99645</v>
      </c>
      <c r="F19" s="148">
        <v>839</v>
      </c>
      <c r="G19" s="1242">
        <v>25431</v>
      </c>
      <c r="H19" s="148">
        <v>8777</v>
      </c>
      <c r="I19" s="1242">
        <v>105498</v>
      </c>
      <c r="J19" s="31">
        <f t="shared" si="2"/>
        <v>1430</v>
      </c>
      <c r="K19" s="48">
        <f t="shared" si="2"/>
        <v>108320</v>
      </c>
      <c r="L19" s="31">
        <f t="shared" si="2"/>
        <v>10276</v>
      </c>
      <c r="M19" s="48">
        <f t="shared" si="2"/>
        <v>205143</v>
      </c>
    </row>
    <row r="20" spans="1:14" ht="18.75" customHeight="1">
      <c r="A20" s="275" t="s">
        <v>300</v>
      </c>
      <c r="B20" s="158">
        <f>SUM(B18:B19)</f>
        <v>10505</v>
      </c>
      <c r="C20" s="43">
        <f t="shared" ref="C20:M20" si="3">SUM(C18:C19)</f>
        <v>212927</v>
      </c>
      <c r="D20" s="158">
        <f t="shared" si="3"/>
        <v>11928</v>
      </c>
      <c r="E20" s="43">
        <f t="shared" si="3"/>
        <v>207940</v>
      </c>
      <c r="F20" s="158">
        <f t="shared" si="3"/>
        <v>15991</v>
      </c>
      <c r="G20" s="43">
        <f t="shared" si="3"/>
        <v>123038</v>
      </c>
      <c r="H20" s="158">
        <f t="shared" si="3"/>
        <v>57068</v>
      </c>
      <c r="I20" s="43">
        <f t="shared" si="3"/>
        <v>248970</v>
      </c>
      <c r="J20" s="158">
        <f t="shared" si="3"/>
        <v>26496</v>
      </c>
      <c r="K20" s="43">
        <f t="shared" si="3"/>
        <v>335965</v>
      </c>
      <c r="L20" s="158">
        <f t="shared" si="3"/>
        <v>68996</v>
      </c>
      <c r="M20" s="43">
        <f t="shared" si="3"/>
        <v>456910</v>
      </c>
    </row>
    <row r="21" spans="1:14">
      <c r="J21" s="706"/>
      <c r="K21" s="713"/>
      <c r="L21" s="713"/>
      <c r="M21" s="938" t="s">
        <v>1569</v>
      </c>
      <c r="N21" s="706"/>
    </row>
    <row r="22" spans="1:14" ht="9.75" customHeight="1">
      <c r="J22" s="706"/>
      <c r="K22" s="713"/>
      <c r="L22" s="713"/>
      <c r="M22" s="714"/>
      <c r="N22" s="706"/>
    </row>
    <row r="23" spans="1:14">
      <c r="B23" s="1725" t="s">
        <v>460</v>
      </c>
      <c r="C23" s="1725"/>
      <c r="D23" s="1725"/>
      <c r="E23" s="1725"/>
      <c r="F23" s="1725"/>
      <c r="G23" s="1725"/>
      <c r="H23" s="1725"/>
      <c r="I23" s="1725"/>
      <c r="J23" s="1725"/>
      <c r="K23" s="1725"/>
      <c r="L23" s="1725"/>
      <c r="M23" s="715"/>
      <c r="N23" s="706"/>
    </row>
    <row r="24" spans="1:14" ht="30.75" customHeight="1">
      <c r="B24" s="1738" t="str">
        <f>CONCATENATE("Percentage of Hired Workers and Females employed in Non-agricultural Establishments 
in the district of ",District!A1)</f>
        <v>Percentage of Hired Workers and Females employed in Non-agricultural Establishments 
in the district of Jalpaiguri</v>
      </c>
      <c r="C24" s="1738"/>
      <c r="D24" s="1738"/>
      <c r="E24" s="1738"/>
      <c r="F24" s="1738"/>
      <c r="G24" s="1738"/>
      <c r="H24" s="1738"/>
      <c r="I24" s="1738"/>
      <c r="J24" s="1738"/>
      <c r="K24" s="1738"/>
      <c r="L24" s="1738"/>
    </row>
    <row r="25" spans="1:14" ht="19.5" customHeight="1">
      <c r="B25" s="1739" t="s">
        <v>1145</v>
      </c>
      <c r="C25" s="1740"/>
      <c r="D25" s="1741"/>
      <c r="E25" s="1735" t="s">
        <v>1262</v>
      </c>
      <c r="F25" s="1736"/>
      <c r="G25" s="1736"/>
      <c r="H25" s="1737"/>
      <c r="I25" s="1735" t="s">
        <v>1150</v>
      </c>
      <c r="J25" s="1736"/>
      <c r="K25" s="1736"/>
      <c r="L25" s="1737"/>
    </row>
    <row r="26" spans="1:14" ht="19.5" customHeight="1">
      <c r="B26" s="1742"/>
      <c r="C26" s="1743"/>
      <c r="D26" s="1744"/>
      <c r="E26" s="1726">
        <v>2005</v>
      </c>
      <c r="F26" s="1727"/>
      <c r="G26" s="1726">
        <v>2013</v>
      </c>
      <c r="H26" s="1727"/>
      <c r="I26" s="1726">
        <v>2005</v>
      </c>
      <c r="J26" s="1727"/>
      <c r="K26" s="1726">
        <v>2013</v>
      </c>
      <c r="L26" s="1727"/>
    </row>
    <row r="27" spans="1:14" ht="15" customHeight="1">
      <c r="B27" s="1728" t="s">
        <v>278</v>
      </c>
      <c r="C27" s="1730"/>
      <c r="D27" s="1729"/>
      <c r="E27" s="1728" t="s">
        <v>279</v>
      </c>
      <c r="F27" s="1730"/>
      <c r="G27" s="1728" t="s">
        <v>280</v>
      </c>
      <c r="H27" s="1729"/>
      <c r="I27" s="1728" t="s">
        <v>281</v>
      </c>
      <c r="J27" s="1730"/>
      <c r="K27" s="1728" t="s">
        <v>282</v>
      </c>
      <c r="L27" s="1729"/>
    </row>
    <row r="28" spans="1:14" ht="18.75" customHeight="1">
      <c r="B28" s="1609" t="s">
        <v>335</v>
      </c>
      <c r="C28" s="1731"/>
      <c r="D28" s="1610"/>
      <c r="E28" s="1586">
        <v>48.54</v>
      </c>
      <c r="F28" s="1587"/>
      <c r="G28" s="1586">
        <v>36.71</v>
      </c>
      <c r="H28" s="1587"/>
      <c r="I28" s="1732">
        <v>15.02</v>
      </c>
      <c r="J28" s="1733"/>
      <c r="K28" s="1732">
        <v>19.399999999999999</v>
      </c>
      <c r="L28" s="1733"/>
    </row>
    <row r="29" spans="1:14" ht="18.75" customHeight="1">
      <c r="B29" s="1609" t="s">
        <v>334</v>
      </c>
      <c r="C29" s="1731"/>
      <c r="D29" s="1610"/>
      <c r="E29" s="1586">
        <v>62.03</v>
      </c>
      <c r="F29" s="1587"/>
      <c r="G29" s="1586">
        <v>35.68</v>
      </c>
      <c r="H29" s="1587"/>
      <c r="I29" s="1732">
        <v>9.6999999999999993</v>
      </c>
      <c r="J29" s="1733"/>
      <c r="K29" s="1732">
        <v>13.64</v>
      </c>
      <c r="L29" s="1733"/>
    </row>
    <row r="30" spans="1:14" ht="18.75" customHeight="1">
      <c r="B30" s="1616" t="s">
        <v>300</v>
      </c>
      <c r="C30" s="1734"/>
      <c r="D30" s="1617"/>
      <c r="E30" s="1589">
        <v>52.89</v>
      </c>
      <c r="F30" s="1590"/>
      <c r="G30" s="1589">
        <v>36.24</v>
      </c>
      <c r="H30" s="1590"/>
      <c r="I30" s="1588">
        <v>13.31</v>
      </c>
      <c r="J30" s="1590"/>
      <c r="K30" s="1588">
        <v>16.809999999999999</v>
      </c>
      <c r="L30" s="1590"/>
    </row>
    <row r="31" spans="1:14">
      <c r="C31" s="706"/>
      <c r="D31" s="706"/>
      <c r="I31" s="713"/>
      <c r="J31" s="713"/>
      <c r="K31" s="713"/>
      <c r="L31" s="938" t="s">
        <v>1569</v>
      </c>
    </row>
  </sheetData>
  <mergeCells count="53">
    <mergeCell ref="F4:G4"/>
    <mergeCell ref="A2:M2"/>
    <mergeCell ref="H4:I4"/>
    <mergeCell ref="F3:I3"/>
    <mergeCell ref="A3:A5"/>
    <mergeCell ref="J3:M3"/>
    <mergeCell ref="J4:K4"/>
    <mergeCell ref="L4:M4"/>
    <mergeCell ref="B3:E3"/>
    <mergeCell ref="B4:C4"/>
    <mergeCell ref="D4:E4"/>
    <mergeCell ref="A13:M13"/>
    <mergeCell ref="A14:A16"/>
    <mergeCell ref="B14:E14"/>
    <mergeCell ref="F14:I14"/>
    <mergeCell ref="J14:M14"/>
    <mergeCell ref="B15:C15"/>
    <mergeCell ref="D15:E15"/>
    <mergeCell ref="F15:G15"/>
    <mergeCell ref="H15:I15"/>
    <mergeCell ref="J15:K15"/>
    <mergeCell ref="L15:M15"/>
    <mergeCell ref="I25:L25"/>
    <mergeCell ref="E25:H25"/>
    <mergeCell ref="B24:L24"/>
    <mergeCell ref="B25:D26"/>
    <mergeCell ref="E26:F26"/>
    <mergeCell ref="G26:H26"/>
    <mergeCell ref="I26:J26"/>
    <mergeCell ref="B28:D28"/>
    <mergeCell ref="B30:D30"/>
    <mergeCell ref="G30:H30"/>
    <mergeCell ref="E29:F29"/>
    <mergeCell ref="E28:F28"/>
    <mergeCell ref="E30:F30"/>
    <mergeCell ref="G29:H29"/>
    <mergeCell ref="G28:H28"/>
    <mergeCell ref="A1:M1"/>
    <mergeCell ref="A12:M12"/>
    <mergeCell ref="B23:L23"/>
    <mergeCell ref="I30:J30"/>
    <mergeCell ref="K26:L26"/>
    <mergeCell ref="K27:L27"/>
    <mergeCell ref="B27:D27"/>
    <mergeCell ref="E27:F27"/>
    <mergeCell ref="G27:H27"/>
    <mergeCell ref="B29:D29"/>
    <mergeCell ref="K29:L29"/>
    <mergeCell ref="K28:L28"/>
    <mergeCell ref="K30:L30"/>
    <mergeCell ref="I27:J27"/>
    <mergeCell ref="I29:J29"/>
    <mergeCell ref="I28:J28"/>
  </mergeCells>
  <phoneticPr fontId="0" type="noConversion"/>
  <printOptions horizontalCentered="1"/>
  <pageMargins left="0.1" right="0.1" top="0.31" bottom="0.1" header="0.19" footer="0.1"/>
  <pageSetup paperSize="9" orientation="landscape" blackAndWhite="1" r:id="rId1"/>
  <headerFooter alignWithMargins="0"/>
</worksheet>
</file>

<file path=xl/worksheets/sheet59.xml><?xml version="1.0" encoding="utf-8"?>
<worksheet xmlns="http://schemas.openxmlformats.org/spreadsheetml/2006/main" xmlns:r="http://schemas.openxmlformats.org/officeDocument/2006/relationships">
  <sheetPr codeName="Sheet64"/>
  <dimension ref="A1:I30"/>
  <sheetViews>
    <sheetView topLeftCell="A16" workbookViewId="0">
      <selection activeCell="G16" sqref="G16"/>
    </sheetView>
  </sheetViews>
  <sheetFormatPr defaultRowHeight="12.75"/>
  <cols>
    <col min="1" max="1" width="30.28515625" customWidth="1"/>
    <col min="2" max="6" width="13.7109375" customWidth="1"/>
  </cols>
  <sheetData>
    <row r="1" spans="1:9" s="2" customFormat="1" ht="13.5" customHeight="1">
      <c r="A1" s="1393" t="s">
        <v>461</v>
      </c>
      <c r="B1" s="1393"/>
      <c r="C1" s="1393"/>
      <c r="D1" s="1393"/>
      <c r="E1" s="1393"/>
      <c r="F1" s="1393"/>
    </row>
    <row r="2" spans="1:9" ht="34.5" customHeight="1">
      <c r="A2" s="1311" t="str">
        <f>CONCATENATE("Applicants on the Live-register of Employment Exchanges 
in the district of ",District!A1," by main occupational group")</f>
        <v>Applicants on the Live-register of Employment Exchanges 
in the district of Jalpaiguri by main occupational group</v>
      </c>
      <c r="B2" s="1311"/>
      <c r="C2" s="1311"/>
      <c r="D2" s="1311"/>
      <c r="E2" s="1311"/>
      <c r="F2" s="1311"/>
      <c r="G2" s="33"/>
      <c r="H2" s="33"/>
      <c r="I2" s="25"/>
    </row>
    <row r="3" spans="1:9" ht="12" customHeight="1">
      <c r="A3" s="359"/>
      <c r="B3" s="511"/>
      <c r="C3" s="511"/>
      <c r="D3" s="511"/>
      <c r="E3" s="359"/>
      <c r="F3" s="1084" t="s">
        <v>312</v>
      </c>
      <c r="G3" s="25"/>
      <c r="H3" s="25"/>
      <c r="I3" s="25"/>
    </row>
    <row r="4" spans="1:9" ht="22.5" customHeight="1">
      <c r="A4" s="406" t="s">
        <v>1168</v>
      </c>
      <c r="B4" s="633">
        <v>2010</v>
      </c>
      <c r="C4" s="658">
        <v>2011</v>
      </c>
      <c r="D4" s="633">
        <v>2012</v>
      </c>
      <c r="E4" s="633">
        <v>2013</v>
      </c>
      <c r="F4" s="633">
        <v>2014</v>
      </c>
      <c r="G4" s="31"/>
      <c r="H4" s="31"/>
      <c r="I4" s="7"/>
    </row>
    <row r="5" spans="1:9" ht="13.5" customHeight="1">
      <c r="A5" s="57" t="s">
        <v>278</v>
      </c>
      <c r="B5" s="58" t="s">
        <v>279</v>
      </c>
      <c r="C5" s="87" t="s">
        <v>280</v>
      </c>
      <c r="D5" s="59" t="s">
        <v>281</v>
      </c>
      <c r="E5" s="57" t="s">
        <v>282</v>
      </c>
      <c r="F5" s="57" t="s">
        <v>283</v>
      </c>
      <c r="G5" s="26"/>
      <c r="H5" s="26"/>
      <c r="I5" s="26"/>
    </row>
    <row r="6" spans="1:9" ht="22.5" customHeight="1">
      <c r="A6" s="320" t="s">
        <v>154</v>
      </c>
      <c r="B6" s="48">
        <v>3789</v>
      </c>
      <c r="C6" s="52">
        <v>4829</v>
      </c>
      <c r="D6" s="48">
        <v>4937</v>
      </c>
      <c r="E6" s="52">
        <v>5536</v>
      </c>
      <c r="F6" s="52">
        <v>6804</v>
      </c>
      <c r="G6" s="7"/>
      <c r="H6" s="7"/>
    </row>
    <row r="7" spans="1:9" ht="22.5" customHeight="1">
      <c r="A7" s="91" t="s">
        <v>163</v>
      </c>
      <c r="B7" s="48">
        <v>45969</v>
      </c>
      <c r="C7" s="52">
        <v>63165</v>
      </c>
      <c r="D7" s="48">
        <v>65598</v>
      </c>
      <c r="E7" s="52">
        <v>65645</v>
      </c>
      <c r="F7" s="52">
        <v>68997</v>
      </c>
      <c r="G7" s="7"/>
      <c r="H7" s="7"/>
    </row>
    <row r="8" spans="1:9" ht="22.5" customHeight="1">
      <c r="A8" s="91" t="s">
        <v>1169</v>
      </c>
      <c r="B8" s="48">
        <v>55621</v>
      </c>
      <c r="C8" s="52">
        <v>57629</v>
      </c>
      <c r="D8" s="48">
        <v>61842</v>
      </c>
      <c r="E8" s="52">
        <v>69570</v>
      </c>
      <c r="F8" s="52">
        <v>74239</v>
      </c>
    </row>
    <row r="9" spans="1:9" ht="22.5" customHeight="1">
      <c r="A9" s="91" t="s">
        <v>1170</v>
      </c>
      <c r="B9" s="415">
        <v>28716</v>
      </c>
      <c r="C9" s="48">
        <v>30340</v>
      </c>
      <c r="D9" s="415">
        <v>32894</v>
      </c>
      <c r="E9" s="415">
        <v>36762</v>
      </c>
      <c r="F9" s="415">
        <v>43770</v>
      </c>
      <c r="G9" s="7"/>
      <c r="H9" s="7"/>
    </row>
    <row r="10" spans="1:9" ht="22.5" customHeight="1">
      <c r="A10" s="91" t="s">
        <v>1128</v>
      </c>
      <c r="B10" s="415">
        <v>8908</v>
      </c>
      <c r="C10" s="48">
        <v>7652</v>
      </c>
      <c r="D10" s="415">
        <v>8758</v>
      </c>
      <c r="E10" s="415">
        <v>9654</v>
      </c>
      <c r="F10" s="415">
        <v>10075</v>
      </c>
      <c r="G10" s="7"/>
      <c r="H10" s="7"/>
    </row>
    <row r="11" spans="1:9" ht="22.5" customHeight="1">
      <c r="A11" s="91" t="s">
        <v>1171</v>
      </c>
      <c r="B11" s="415">
        <v>37062</v>
      </c>
      <c r="C11" s="48">
        <v>37908</v>
      </c>
      <c r="D11" s="415">
        <v>38214</v>
      </c>
      <c r="E11" s="415">
        <v>38769</v>
      </c>
      <c r="F11" s="415">
        <v>42498</v>
      </c>
      <c r="G11" s="7"/>
      <c r="H11" s="7"/>
    </row>
    <row r="12" spans="1:9" ht="22.5" customHeight="1">
      <c r="A12" s="275" t="s">
        <v>545</v>
      </c>
      <c r="B12" s="415">
        <v>17525</v>
      </c>
      <c r="C12" s="48">
        <v>20023</v>
      </c>
      <c r="D12" s="415">
        <v>23905</v>
      </c>
      <c r="E12" s="415">
        <v>26583</v>
      </c>
      <c r="F12" s="415">
        <v>34481</v>
      </c>
      <c r="G12" s="7"/>
      <c r="H12" s="7"/>
    </row>
    <row r="13" spans="1:9" ht="24" customHeight="1">
      <c r="A13" s="230" t="s">
        <v>1172</v>
      </c>
      <c r="B13" s="166">
        <f>SUM(B6:B12)</f>
        <v>197590</v>
      </c>
      <c r="C13" s="166">
        <f>SUM(C6:C12)</f>
        <v>221546</v>
      </c>
      <c r="D13" s="166">
        <f>SUM(D6:D12)</f>
        <v>236148</v>
      </c>
      <c r="E13" s="166">
        <f>SUM(E6:E12)</f>
        <v>252519</v>
      </c>
      <c r="F13" s="166">
        <f>SUM(F6:F12)</f>
        <v>280864</v>
      </c>
      <c r="G13" s="7"/>
      <c r="H13" s="7"/>
    </row>
    <row r="14" spans="1:9" ht="15" customHeight="1">
      <c r="A14" s="516"/>
      <c r="C14" s="282"/>
      <c r="D14" s="408"/>
      <c r="E14" s="360"/>
      <c r="F14" s="939" t="s">
        <v>175</v>
      </c>
      <c r="G14" s="7"/>
      <c r="H14" s="7"/>
    </row>
    <row r="15" spans="1:9" ht="12.75" customHeight="1">
      <c r="A15" s="516"/>
      <c r="B15" s="282"/>
      <c r="C15" s="282"/>
      <c r="D15" s="408"/>
      <c r="E15" s="360"/>
      <c r="F15" s="392"/>
      <c r="G15" s="7"/>
      <c r="H15" s="7"/>
    </row>
    <row r="16" spans="1:9" ht="12.75" customHeight="1">
      <c r="A16" s="1393" t="s">
        <v>462</v>
      </c>
      <c r="B16" s="1393"/>
      <c r="C16" s="1393"/>
      <c r="D16" s="1393"/>
      <c r="E16" s="1393"/>
      <c r="F16" s="1393"/>
      <c r="G16" s="7"/>
      <c r="H16" s="7"/>
    </row>
    <row r="17" spans="1:9" ht="31.5" customHeight="1">
      <c r="A17" s="1750" t="str">
        <f>CONCATENATE("Registration and Placement effected by Employment Exchanges
 in the district of ",District!A1)</f>
        <v>Registration and Placement effected by Employment Exchanges
 in the district of Jalpaiguri</v>
      </c>
      <c r="B17" s="1750"/>
      <c r="C17" s="1750"/>
      <c r="D17" s="1750"/>
      <c r="E17" s="1750"/>
      <c r="F17" s="1750"/>
      <c r="G17" s="7"/>
      <c r="H17" s="7"/>
    </row>
    <row r="18" spans="1:9" ht="12" customHeight="1">
      <c r="A18" s="359"/>
      <c r="B18" s="511"/>
      <c r="C18" s="511"/>
      <c r="D18" s="511"/>
      <c r="E18" s="511"/>
      <c r="F18" s="1084" t="s">
        <v>312</v>
      </c>
      <c r="G18" s="7"/>
      <c r="H18" s="7"/>
    </row>
    <row r="19" spans="1:9" ht="30" customHeight="1">
      <c r="A19" s="362" t="s">
        <v>1516</v>
      </c>
      <c r="B19" s="633">
        <v>2010</v>
      </c>
      <c r="C19" s="658">
        <v>2011</v>
      </c>
      <c r="D19" s="633">
        <v>2012</v>
      </c>
      <c r="E19" s="633">
        <v>2013</v>
      </c>
      <c r="F19" s="633">
        <v>2014</v>
      </c>
      <c r="G19" s="7"/>
      <c r="H19" s="7"/>
    </row>
    <row r="20" spans="1:9" ht="14.25" customHeight="1">
      <c r="A20" s="92" t="s">
        <v>278</v>
      </c>
      <c r="B20" s="92" t="s">
        <v>279</v>
      </c>
      <c r="C20" s="57" t="s">
        <v>280</v>
      </c>
      <c r="D20" s="93" t="s">
        <v>281</v>
      </c>
      <c r="E20" s="57" t="s">
        <v>282</v>
      </c>
      <c r="F20" s="58" t="s">
        <v>283</v>
      </c>
      <c r="G20" s="7"/>
      <c r="H20" s="7"/>
    </row>
    <row r="21" spans="1:9" ht="30.75" customHeight="1">
      <c r="A21" s="806" t="s">
        <v>630</v>
      </c>
      <c r="B21" s="49">
        <v>20555</v>
      </c>
      <c r="C21" s="49">
        <v>17525</v>
      </c>
      <c r="D21" s="49">
        <v>18649</v>
      </c>
      <c r="E21" s="49">
        <v>28757</v>
      </c>
      <c r="F21" s="49">
        <v>32606</v>
      </c>
      <c r="G21" s="7"/>
      <c r="H21" s="7"/>
    </row>
    <row r="22" spans="1:9" ht="30.75" customHeight="1">
      <c r="A22" s="778" t="s">
        <v>631</v>
      </c>
      <c r="B22" s="52">
        <v>149</v>
      </c>
      <c r="C22" s="52">
        <v>52</v>
      </c>
      <c r="D22" s="52">
        <v>45</v>
      </c>
      <c r="E22" s="52">
        <v>104</v>
      </c>
      <c r="F22" s="52">
        <v>153</v>
      </c>
      <c r="G22" s="7"/>
      <c r="H22" s="7"/>
    </row>
    <row r="23" spans="1:9" ht="30.75" customHeight="1">
      <c r="A23" s="778" t="s">
        <v>633</v>
      </c>
      <c r="B23" s="52">
        <v>118</v>
      </c>
      <c r="C23" s="52">
        <v>32</v>
      </c>
      <c r="D23" s="52">
        <v>32</v>
      </c>
      <c r="E23" s="52">
        <v>14</v>
      </c>
      <c r="F23" s="52">
        <v>18</v>
      </c>
      <c r="G23" s="7"/>
      <c r="H23" s="7"/>
    </row>
    <row r="24" spans="1:9" ht="30.75" customHeight="1">
      <c r="A24" s="779" t="s">
        <v>632</v>
      </c>
      <c r="B24" s="155">
        <f>B13</f>
        <v>197590</v>
      </c>
      <c r="C24" s="155">
        <f>C13</f>
        <v>221546</v>
      </c>
      <c r="D24" s="155">
        <f>D13</f>
        <v>236148</v>
      </c>
      <c r="E24" s="155">
        <f>E13</f>
        <v>252519</v>
      </c>
      <c r="F24" s="155">
        <f>F13</f>
        <v>280864</v>
      </c>
      <c r="G24" s="7"/>
      <c r="H24" s="7"/>
      <c r="I24" s="7"/>
    </row>
    <row r="25" spans="1:9">
      <c r="A25" s="433"/>
      <c r="B25" s="392"/>
      <c r="C25" s="392"/>
      <c r="D25" s="392"/>
      <c r="E25" s="359"/>
      <c r="F25" s="939" t="s">
        <v>175</v>
      </c>
    </row>
    <row r="26" spans="1:9">
      <c r="A26" s="359"/>
      <c r="B26" s="392"/>
      <c r="D26" s="282"/>
      <c r="E26" s="408"/>
      <c r="F26" s="360"/>
    </row>
    <row r="27" spans="1:9">
      <c r="B27" s="7"/>
      <c r="C27" s="7"/>
      <c r="D27" s="7"/>
      <c r="E27" s="7"/>
      <c r="F27" s="7"/>
    </row>
    <row r="28" spans="1:9">
      <c r="F28" s="7"/>
    </row>
    <row r="29" spans="1:9">
      <c r="F29" s="7"/>
    </row>
    <row r="30" spans="1:9">
      <c r="F30" s="7"/>
    </row>
  </sheetData>
  <mergeCells count="4">
    <mergeCell ref="A16:F16"/>
    <mergeCell ref="A1:F1"/>
    <mergeCell ref="A2:F2"/>
    <mergeCell ref="A17:F17"/>
  </mergeCells>
  <phoneticPr fontId="0" type="noConversion"/>
  <printOptions horizontalCentered="1" verticalCentered="1"/>
  <pageMargins left="0.1" right="0.1" top="0.1" bottom="0.1" header="0.5" footer="0.1"/>
  <pageSetup paperSize="9" orientation="landscape" blackAndWhite="1" r:id="rId1"/>
  <headerFooter alignWithMargins="0"/>
</worksheet>
</file>

<file path=xl/worksheets/sheet6.xml><?xml version="1.0" encoding="utf-8"?>
<worksheet xmlns="http://schemas.openxmlformats.org/spreadsheetml/2006/main" xmlns:r="http://schemas.openxmlformats.org/officeDocument/2006/relationships">
  <sheetPr codeName="Sheet3" enableFormatConditionsCalculation="0"/>
  <dimension ref="A1:I50"/>
  <sheetViews>
    <sheetView topLeftCell="A19" workbookViewId="0">
      <selection activeCell="D29" sqref="D29"/>
    </sheetView>
  </sheetViews>
  <sheetFormatPr defaultRowHeight="12.75"/>
  <cols>
    <col min="1" max="1" width="17.5703125" customWidth="1"/>
    <col min="2" max="8" width="13.5703125" customWidth="1"/>
    <col min="9" max="9" width="11" customWidth="1"/>
  </cols>
  <sheetData>
    <row r="1" spans="1:9" ht="14.25" customHeight="1">
      <c r="A1" s="1286" t="s">
        <v>1421</v>
      </c>
      <c r="B1" s="1286"/>
      <c r="C1" s="1286"/>
      <c r="D1" s="1286"/>
      <c r="E1" s="1286"/>
      <c r="F1" s="1286"/>
      <c r="G1" s="1286"/>
      <c r="H1" s="1286"/>
      <c r="I1" s="602"/>
    </row>
    <row r="2" spans="1:9" ht="18" customHeight="1">
      <c r="A2" s="1287" t="str">
        <f>CONCATENATE("Geographical Location of ",District!$A$1," district and its headquarters")</f>
        <v>Geographical Location of Jalpaiguri district and its headquarters</v>
      </c>
      <c r="B2" s="1287"/>
      <c r="C2" s="1287"/>
      <c r="D2" s="1287"/>
      <c r="E2" s="1287"/>
      <c r="F2" s="1287"/>
      <c r="G2" s="1287"/>
      <c r="H2" s="1287"/>
      <c r="I2" s="719"/>
    </row>
    <row r="3" spans="1:9" ht="12.75" customHeight="1">
      <c r="A3" s="359"/>
      <c r="B3" s="405"/>
      <c r="C3" s="405"/>
      <c r="D3" s="405"/>
      <c r="E3" s="405"/>
      <c r="F3" s="405"/>
      <c r="G3" s="405"/>
      <c r="H3" s="359"/>
      <c r="I3" s="359"/>
    </row>
    <row r="4" spans="1:9" ht="20.25" customHeight="1">
      <c r="A4" s="1299" t="s">
        <v>1166</v>
      </c>
      <c r="B4" s="1291" t="s">
        <v>242</v>
      </c>
      <c r="C4" s="1292"/>
      <c r="D4" s="1297" t="s">
        <v>243</v>
      </c>
      <c r="E4" s="1298"/>
      <c r="F4" s="1299" t="s">
        <v>1188</v>
      </c>
      <c r="G4" s="1288" t="s">
        <v>242</v>
      </c>
      <c r="H4" s="1288" t="s">
        <v>243</v>
      </c>
    </row>
    <row r="5" spans="1:9" ht="18.75" customHeight="1">
      <c r="A5" s="1302"/>
      <c r="B5" s="247" t="s">
        <v>249</v>
      </c>
      <c r="C5" s="172" t="s">
        <v>250</v>
      </c>
      <c r="D5" s="406" t="s">
        <v>251</v>
      </c>
      <c r="E5" s="362" t="s">
        <v>252</v>
      </c>
      <c r="F5" s="1300"/>
      <c r="G5" s="1289"/>
      <c r="H5" s="1301"/>
    </row>
    <row r="6" spans="1:9" ht="12.75" customHeight="1">
      <c r="A6" s="92" t="s">
        <v>278</v>
      </c>
      <c r="B6" s="57" t="s">
        <v>279</v>
      </c>
      <c r="C6" s="58" t="s">
        <v>280</v>
      </c>
      <c r="D6" s="126" t="s">
        <v>281</v>
      </c>
      <c r="E6" s="127" t="s">
        <v>282</v>
      </c>
      <c r="F6" s="153" t="s">
        <v>283</v>
      </c>
      <c r="G6" s="59" t="s">
        <v>284</v>
      </c>
      <c r="H6" s="59" t="s">
        <v>301</v>
      </c>
    </row>
    <row r="7" spans="1:9" ht="32.25" customHeight="1">
      <c r="A7" s="737" t="s">
        <v>1149</v>
      </c>
      <c r="B7" s="124" t="s">
        <v>663</v>
      </c>
      <c r="C7" s="125" t="s">
        <v>664</v>
      </c>
      <c r="D7" s="124" t="s">
        <v>665</v>
      </c>
      <c r="E7" s="128" t="s">
        <v>666</v>
      </c>
      <c r="F7" s="1002" t="s">
        <v>1149</v>
      </c>
      <c r="G7" s="124" t="s">
        <v>667</v>
      </c>
      <c r="H7" s="124" t="s">
        <v>668</v>
      </c>
    </row>
    <row r="8" spans="1:9">
      <c r="A8" s="359"/>
      <c r="B8" s="359"/>
      <c r="C8" s="359"/>
      <c r="D8" s="359"/>
      <c r="E8" s="383"/>
      <c r="F8" s="1008"/>
      <c r="G8" s="1008"/>
      <c r="H8" s="949" t="s">
        <v>60</v>
      </c>
    </row>
    <row r="9" spans="1:9">
      <c r="A9" s="359"/>
      <c r="B9" s="359"/>
      <c r="C9" s="359"/>
      <c r="D9" s="359"/>
      <c r="E9" s="383"/>
      <c r="F9" s="392"/>
      <c r="G9" s="359"/>
      <c r="H9" s="392"/>
      <c r="I9" s="383"/>
    </row>
    <row r="10" spans="1:9">
      <c r="A10" s="1286" t="s">
        <v>1420</v>
      </c>
      <c r="B10" s="1286"/>
      <c r="C10" s="1286"/>
      <c r="D10" s="1286"/>
      <c r="E10" s="1286"/>
      <c r="F10" s="1286"/>
      <c r="G10" s="1286"/>
      <c r="H10" s="1286"/>
      <c r="I10" s="602"/>
    </row>
    <row r="11" spans="1:9" ht="16.5">
      <c r="A11" s="1287" t="str">
        <f>CONCATENATE("Monthly Rainfall in the district of ",District!$A$1)</f>
        <v>Monthly Rainfall in the district of Jalpaiguri</v>
      </c>
      <c r="B11" s="1287"/>
      <c r="C11" s="1287"/>
      <c r="D11" s="1287"/>
      <c r="E11" s="1287"/>
      <c r="F11" s="1287"/>
      <c r="G11" s="1287"/>
      <c r="H11" s="1287"/>
      <c r="I11" s="719"/>
    </row>
    <row r="12" spans="1:9" ht="12" customHeight="1">
      <c r="A12" s="359"/>
      <c r="B12" s="412"/>
      <c r="C12" s="412"/>
      <c r="D12" s="412"/>
      <c r="E12" s="412"/>
      <c r="G12" s="359"/>
      <c r="H12" s="691" t="s">
        <v>325</v>
      </c>
    </row>
    <row r="13" spans="1:9" ht="16.5" customHeight="1">
      <c r="A13" s="1293" t="s">
        <v>285</v>
      </c>
      <c r="B13" s="1294"/>
      <c r="C13" s="325" t="s">
        <v>286</v>
      </c>
      <c r="D13" s="1290" t="s">
        <v>287</v>
      </c>
      <c r="E13" s="1291"/>
      <c r="F13" s="1291"/>
      <c r="G13" s="1291"/>
      <c r="H13" s="1292"/>
    </row>
    <row r="14" spans="1:9" ht="16.5" customHeight="1">
      <c r="A14" s="1295"/>
      <c r="B14" s="1296"/>
      <c r="C14" s="739">
        <f>H14</f>
        <v>2014</v>
      </c>
      <c r="D14" s="659">
        <v>2010</v>
      </c>
      <c r="E14" s="659">
        <v>2011</v>
      </c>
      <c r="F14" s="659">
        <v>2012</v>
      </c>
      <c r="G14" s="659">
        <v>2013</v>
      </c>
      <c r="H14" s="659">
        <v>2014</v>
      </c>
    </row>
    <row r="15" spans="1:9" ht="18" customHeight="1">
      <c r="A15" s="1307" t="s">
        <v>278</v>
      </c>
      <c r="B15" s="1308"/>
      <c r="C15" s="326" t="s">
        <v>279</v>
      </c>
      <c r="D15" s="326" t="s">
        <v>280</v>
      </c>
      <c r="E15" s="326" t="s">
        <v>281</v>
      </c>
      <c r="F15" s="326" t="s">
        <v>282</v>
      </c>
      <c r="G15" s="326" t="s">
        <v>283</v>
      </c>
      <c r="H15" s="327" t="s">
        <v>284</v>
      </c>
    </row>
    <row r="16" spans="1:9" ht="18" customHeight="1">
      <c r="A16" s="1309" t="s">
        <v>288</v>
      </c>
      <c r="B16" s="1310"/>
      <c r="C16" s="52">
        <v>15</v>
      </c>
      <c r="D16" s="227" t="s">
        <v>570</v>
      </c>
      <c r="E16" s="822">
        <v>3</v>
      </c>
      <c r="F16" s="822">
        <v>5</v>
      </c>
      <c r="G16" s="1170">
        <v>3.4</v>
      </c>
      <c r="H16" s="1170">
        <v>0</v>
      </c>
    </row>
    <row r="17" spans="1:9" ht="18" customHeight="1">
      <c r="A17" s="1309" t="s">
        <v>289</v>
      </c>
      <c r="B17" s="1310"/>
      <c r="C17" s="52">
        <v>23</v>
      </c>
      <c r="D17" s="52">
        <v>2</v>
      </c>
      <c r="E17" s="822">
        <v>8</v>
      </c>
      <c r="F17" s="822">
        <v>6</v>
      </c>
      <c r="G17" s="1170">
        <v>15.8</v>
      </c>
      <c r="H17" s="1170">
        <v>30</v>
      </c>
    </row>
    <row r="18" spans="1:9" ht="18" customHeight="1">
      <c r="A18" s="1303" t="s">
        <v>290</v>
      </c>
      <c r="B18" s="1304"/>
      <c r="C18" s="52">
        <v>34</v>
      </c>
      <c r="D18" s="52">
        <v>74</v>
      </c>
      <c r="E18" s="48">
        <v>78</v>
      </c>
      <c r="F18" s="48">
        <v>5</v>
      </c>
      <c r="G18" s="188">
        <v>17.8</v>
      </c>
      <c r="H18" s="188">
        <v>19</v>
      </c>
    </row>
    <row r="19" spans="1:9" ht="18" customHeight="1">
      <c r="A19" s="1303" t="s">
        <v>291</v>
      </c>
      <c r="B19" s="1304"/>
      <c r="C19" s="52">
        <v>125</v>
      </c>
      <c r="D19" s="52">
        <v>159</v>
      </c>
      <c r="E19" s="48">
        <v>184</v>
      </c>
      <c r="F19" s="48">
        <v>150</v>
      </c>
      <c r="G19" s="188">
        <v>144.4</v>
      </c>
      <c r="H19" s="188">
        <v>65</v>
      </c>
    </row>
    <row r="20" spans="1:9" ht="18" customHeight="1">
      <c r="A20" s="1303" t="s">
        <v>292</v>
      </c>
      <c r="B20" s="1304"/>
      <c r="C20" s="52">
        <v>361</v>
      </c>
      <c r="D20" s="52">
        <v>396</v>
      </c>
      <c r="E20" s="48">
        <v>321</v>
      </c>
      <c r="F20" s="48">
        <v>310</v>
      </c>
      <c r="G20" s="188">
        <v>359</v>
      </c>
      <c r="H20" s="188">
        <v>437</v>
      </c>
    </row>
    <row r="21" spans="1:9" ht="18" customHeight="1">
      <c r="A21" s="1303" t="s">
        <v>293</v>
      </c>
      <c r="B21" s="1304"/>
      <c r="C21" s="52">
        <v>692</v>
      </c>
      <c r="D21" s="52">
        <v>900</v>
      </c>
      <c r="E21" s="48">
        <v>552</v>
      </c>
      <c r="F21" s="48">
        <v>1096</v>
      </c>
      <c r="G21" s="188">
        <v>611.1</v>
      </c>
      <c r="H21" s="188">
        <v>661</v>
      </c>
    </row>
    <row r="22" spans="1:9" ht="18" customHeight="1">
      <c r="A22" s="1303" t="s">
        <v>294</v>
      </c>
      <c r="B22" s="1304"/>
      <c r="C22" s="52">
        <v>928</v>
      </c>
      <c r="D22" s="52">
        <v>1044</v>
      </c>
      <c r="E22" s="48">
        <v>889</v>
      </c>
      <c r="F22" s="48">
        <v>1043</v>
      </c>
      <c r="G22" s="188">
        <v>1048</v>
      </c>
      <c r="H22" s="188">
        <v>383</v>
      </c>
    </row>
    <row r="23" spans="1:9" ht="18" customHeight="1">
      <c r="A23" s="1303" t="s">
        <v>295</v>
      </c>
      <c r="B23" s="1304"/>
      <c r="C23" s="52">
        <v>616</v>
      </c>
      <c r="D23" s="52">
        <v>688</v>
      </c>
      <c r="E23" s="48">
        <v>562</v>
      </c>
      <c r="F23" s="48">
        <v>429</v>
      </c>
      <c r="G23" s="188">
        <v>641.6</v>
      </c>
      <c r="H23" s="188">
        <v>926</v>
      </c>
    </row>
    <row r="24" spans="1:9" ht="18" customHeight="1">
      <c r="A24" s="1303" t="s">
        <v>296</v>
      </c>
      <c r="B24" s="1304"/>
      <c r="C24" s="52">
        <v>529</v>
      </c>
      <c r="D24" s="52">
        <v>539</v>
      </c>
      <c r="E24" s="48">
        <v>508</v>
      </c>
      <c r="F24" s="48">
        <v>575</v>
      </c>
      <c r="G24" s="188">
        <v>499.4</v>
      </c>
      <c r="H24" s="188">
        <v>488</v>
      </c>
    </row>
    <row r="25" spans="1:9" ht="18" customHeight="1">
      <c r="A25" s="1303" t="s">
        <v>297</v>
      </c>
      <c r="B25" s="1304"/>
      <c r="C25" s="52">
        <v>156</v>
      </c>
      <c r="D25" s="517">
        <v>70</v>
      </c>
      <c r="E25" s="48">
        <v>39</v>
      </c>
      <c r="F25" s="48">
        <v>168</v>
      </c>
      <c r="G25" s="188">
        <v>165.5</v>
      </c>
      <c r="H25" s="188">
        <v>39</v>
      </c>
    </row>
    <row r="26" spans="1:9" ht="18" customHeight="1">
      <c r="A26" s="1303" t="s">
        <v>298</v>
      </c>
      <c r="B26" s="1304"/>
      <c r="C26" s="52">
        <v>19</v>
      </c>
      <c r="D26" s="425">
        <v>10</v>
      </c>
      <c r="E26" s="822">
        <v>2</v>
      </c>
      <c r="F26" s="48" t="s">
        <v>570</v>
      </c>
      <c r="G26" s="188" t="s">
        <v>570</v>
      </c>
      <c r="H26" s="188">
        <v>0</v>
      </c>
    </row>
    <row r="27" spans="1:9" ht="18" customHeight="1">
      <c r="A27" s="1303" t="s">
        <v>299</v>
      </c>
      <c r="B27" s="1304"/>
      <c r="C27" s="52">
        <v>12</v>
      </c>
      <c r="D27" s="294" t="s">
        <v>570</v>
      </c>
      <c r="E27" s="216" t="s">
        <v>570</v>
      </c>
      <c r="F27" s="216" t="s">
        <v>570</v>
      </c>
      <c r="G27" s="176" t="s">
        <v>570</v>
      </c>
      <c r="H27" s="176">
        <v>0</v>
      </c>
    </row>
    <row r="28" spans="1:9" ht="18" customHeight="1">
      <c r="A28" s="1305" t="s">
        <v>300</v>
      </c>
      <c r="B28" s="1306"/>
      <c r="C28" s="230">
        <f t="shared" ref="C28:H28" si="0">SUM(C16:C27)</f>
        <v>3510</v>
      </c>
      <c r="D28" s="230">
        <f t="shared" si="0"/>
        <v>3882</v>
      </c>
      <c r="E28" s="166">
        <f t="shared" si="0"/>
        <v>3146</v>
      </c>
      <c r="F28" s="166">
        <f t="shared" si="0"/>
        <v>3787</v>
      </c>
      <c r="G28" s="166">
        <f t="shared" si="0"/>
        <v>3506</v>
      </c>
      <c r="H28" s="166">
        <f t="shared" si="0"/>
        <v>3048</v>
      </c>
    </row>
    <row r="29" spans="1:9">
      <c r="D29" s="871"/>
      <c r="E29" s="869"/>
      <c r="F29" s="871"/>
      <c r="G29" s="871"/>
      <c r="H29" s="869" t="s">
        <v>61</v>
      </c>
    </row>
    <row r="30" spans="1:9">
      <c r="A30" s="122"/>
      <c r="B30" s="122"/>
      <c r="C30" s="122"/>
      <c r="D30" s="122"/>
      <c r="I30" s="122"/>
    </row>
    <row r="31" spans="1:9">
      <c r="A31" s="73"/>
      <c r="B31" s="132"/>
      <c r="C31" s="131"/>
      <c r="D31" s="90"/>
      <c r="E31" s="10"/>
      <c r="I31" s="132"/>
    </row>
    <row r="50" spans="7:7">
      <c r="G50" s="55"/>
    </row>
  </sheetData>
  <mergeCells count="26">
    <mergeCell ref="A26:B26"/>
    <mergeCell ref="A27:B27"/>
    <mergeCell ref="A28:B28"/>
    <mergeCell ref="B4:C4"/>
    <mergeCell ref="A18:B18"/>
    <mergeCell ref="A19:B19"/>
    <mergeCell ref="A20:B20"/>
    <mergeCell ref="A21:B21"/>
    <mergeCell ref="A15:B15"/>
    <mergeCell ref="A16:B16"/>
    <mergeCell ref="A25:B25"/>
    <mergeCell ref="A17:B17"/>
    <mergeCell ref="A23:B23"/>
    <mergeCell ref="A24:B24"/>
    <mergeCell ref="A22:B22"/>
    <mergeCell ref="A1:H1"/>
    <mergeCell ref="A2:H2"/>
    <mergeCell ref="G4:G5"/>
    <mergeCell ref="D13:H13"/>
    <mergeCell ref="A10:H10"/>
    <mergeCell ref="A11:H11"/>
    <mergeCell ref="A13:B14"/>
    <mergeCell ref="D4:E4"/>
    <mergeCell ref="F4:F5"/>
    <mergeCell ref="H4:H5"/>
    <mergeCell ref="A4:A5"/>
  </mergeCells>
  <phoneticPr fontId="0" type="noConversion"/>
  <printOptions horizontalCentered="1"/>
  <pageMargins left="0.1" right="0.1" top="0.63" bottom="0.1" header="0.5" footer="0.1"/>
  <pageSetup paperSize="9" orientation="landscape" blackAndWhite="1" r:id="rId1"/>
  <headerFooter alignWithMargins="0"/>
</worksheet>
</file>

<file path=xl/worksheets/sheet60.xml><?xml version="1.0" encoding="utf-8"?>
<worksheet xmlns="http://schemas.openxmlformats.org/spreadsheetml/2006/main" xmlns:r="http://schemas.openxmlformats.org/officeDocument/2006/relationships">
  <sheetPr codeName="Sheet40"/>
  <dimension ref="A1:I39"/>
  <sheetViews>
    <sheetView topLeftCell="A22" workbookViewId="0">
      <selection activeCell="A33" sqref="A33:C34"/>
    </sheetView>
  </sheetViews>
  <sheetFormatPr defaultRowHeight="12.4" customHeight="1"/>
  <cols>
    <col min="1" max="1" width="26.42578125" customWidth="1"/>
    <col min="2" max="2" width="11.7109375" customWidth="1"/>
    <col min="3" max="3" width="13.7109375" customWidth="1"/>
    <col min="4" max="4" width="11.7109375" customWidth="1"/>
    <col min="5" max="5" width="13.42578125" customWidth="1"/>
    <col min="6" max="6" width="11.42578125" customWidth="1"/>
    <col min="7" max="7" width="14.28515625" customWidth="1"/>
  </cols>
  <sheetData>
    <row r="1" spans="1:7" ht="12.75" customHeight="1">
      <c r="A1" s="1286" t="s">
        <v>463</v>
      </c>
      <c r="B1" s="1286"/>
      <c r="C1" s="1286"/>
      <c r="D1" s="1286"/>
      <c r="E1" s="1286"/>
      <c r="F1" s="1286"/>
      <c r="G1" s="1286"/>
    </row>
    <row r="2" spans="1:7" s="359" customFormat="1" ht="23.25" customHeight="1">
      <c r="A2" s="1753" t="str">
        <f>CONCATENATE("Assistance to Old-aged persons, Widows and Handicapped  in the district of ",District!A1)</f>
        <v>Assistance to Old-aged persons, Widows and Handicapped  in the district of Jalpaiguri</v>
      </c>
      <c r="B2" s="1753"/>
      <c r="C2" s="1753"/>
      <c r="D2" s="1753"/>
      <c r="E2" s="1753"/>
      <c r="F2" s="1753"/>
      <c r="G2" s="1753"/>
    </row>
    <row r="3" spans="1:7" ht="13.5" customHeight="1">
      <c r="A3" s="1299" t="s">
        <v>98</v>
      </c>
      <c r="B3" s="1445" t="s">
        <v>1173</v>
      </c>
      <c r="C3" s="1446"/>
      <c r="D3" s="1445" t="s">
        <v>1175</v>
      </c>
      <c r="E3" s="1446"/>
      <c r="F3" s="1445" t="s">
        <v>1176</v>
      </c>
      <c r="G3" s="1446"/>
    </row>
    <row r="4" spans="1:7" ht="45" customHeight="1">
      <c r="A4" s="1302"/>
      <c r="B4" s="670" t="s">
        <v>1389</v>
      </c>
      <c r="C4" s="655" t="s">
        <v>1159</v>
      </c>
      <c r="D4" s="670" t="s">
        <v>1174</v>
      </c>
      <c r="E4" s="655" t="s">
        <v>1160</v>
      </c>
      <c r="F4" s="671" t="s">
        <v>1390</v>
      </c>
      <c r="G4" s="655" t="s">
        <v>1161</v>
      </c>
    </row>
    <row r="5" spans="1:7" ht="12.75" customHeight="1">
      <c r="A5" s="57" t="s">
        <v>278</v>
      </c>
      <c r="B5" s="92" t="s">
        <v>279</v>
      </c>
      <c r="C5" s="57" t="s">
        <v>280</v>
      </c>
      <c r="D5" s="87" t="s">
        <v>281</v>
      </c>
      <c r="E5" s="57" t="s">
        <v>282</v>
      </c>
      <c r="F5" s="93" t="s">
        <v>283</v>
      </c>
      <c r="G5" s="59" t="s">
        <v>284</v>
      </c>
    </row>
    <row r="6" spans="1:7" ht="15" customHeight="1">
      <c r="A6" s="91" t="s">
        <v>1110</v>
      </c>
      <c r="B6" s="31">
        <v>2824</v>
      </c>
      <c r="C6" s="582">
        <v>26686.799999999999</v>
      </c>
      <c r="D6" s="31">
        <v>1457</v>
      </c>
      <c r="E6" s="582">
        <v>13768.55</v>
      </c>
      <c r="F6" s="31">
        <v>1502</v>
      </c>
      <c r="G6" s="582">
        <v>14193.9</v>
      </c>
    </row>
    <row r="7" spans="1:7" ht="15" customHeight="1">
      <c r="A7" s="91" t="s">
        <v>1111</v>
      </c>
      <c r="B7" s="52">
        <v>2824</v>
      </c>
      <c r="C7" s="188">
        <v>26686.799999999999</v>
      </c>
      <c r="D7" s="52">
        <v>1457</v>
      </c>
      <c r="E7" s="582">
        <v>13768.55</v>
      </c>
      <c r="F7" s="52">
        <v>1502</v>
      </c>
      <c r="G7" s="188">
        <v>14193.9</v>
      </c>
    </row>
    <row r="8" spans="1:7" ht="15" customHeight="1">
      <c r="A8" s="91" t="s">
        <v>641</v>
      </c>
      <c r="B8" s="179">
        <v>2824</v>
      </c>
      <c r="C8" s="867">
        <v>26687</v>
      </c>
      <c r="D8" s="179">
        <v>1457</v>
      </c>
      <c r="E8" s="867">
        <v>13769.25</v>
      </c>
      <c r="F8" s="179">
        <v>1502</v>
      </c>
      <c r="G8" s="867">
        <v>14194</v>
      </c>
    </row>
    <row r="9" spans="1:7" ht="15" customHeight="1">
      <c r="A9" s="91" t="s">
        <v>909</v>
      </c>
      <c r="B9" s="225">
        <v>2824</v>
      </c>
      <c r="C9" s="867">
        <v>26686.65</v>
      </c>
      <c r="D9" s="225">
        <v>1457</v>
      </c>
      <c r="E9" s="867">
        <v>13768.75</v>
      </c>
      <c r="F9" s="225">
        <v>1502</v>
      </c>
      <c r="G9" s="867">
        <v>14194</v>
      </c>
    </row>
    <row r="10" spans="1:7" ht="15" customHeight="1">
      <c r="A10" s="299" t="s">
        <v>895</v>
      </c>
      <c r="B10" s="681">
        <f t="shared" ref="B10:G10" si="0">SUM(B12,B20,B25)</f>
        <v>2824</v>
      </c>
      <c r="C10" s="681">
        <f t="shared" si="0"/>
        <v>26687</v>
      </c>
      <c r="D10" s="681">
        <f t="shared" si="0"/>
        <v>1457</v>
      </c>
      <c r="E10" s="681">
        <f t="shared" si="0"/>
        <v>13768.56</v>
      </c>
      <c r="F10" s="681">
        <f t="shared" si="0"/>
        <v>1502</v>
      </c>
      <c r="G10" s="868">
        <f t="shared" si="0"/>
        <v>14194</v>
      </c>
    </row>
    <row r="11" spans="1:7" ht="31.5" customHeight="1">
      <c r="A11" s="297" t="s">
        <v>840</v>
      </c>
      <c r="B11" s="1754" t="str">
        <f>"Year : " &amp; A10</f>
        <v>Year : 2013-14</v>
      </c>
      <c r="C11" s="1755"/>
      <c r="D11" s="1755"/>
      <c r="E11" s="1755"/>
      <c r="F11" s="1755"/>
      <c r="G11" s="1756"/>
    </row>
    <row r="12" spans="1:7" ht="15" customHeight="1">
      <c r="A12" s="239" t="s">
        <v>662</v>
      </c>
      <c r="B12" s="592">
        <f t="shared" ref="B12:G12" si="1">SUM(B13:B18)</f>
        <v>1246</v>
      </c>
      <c r="C12" s="592">
        <f t="shared" si="1"/>
        <v>11775</v>
      </c>
      <c r="D12" s="592">
        <f t="shared" si="1"/>
        <v>609</v>
      </c>
      <c r="E12" s="592">
        <f t="shared" si="1"/>
        <v>5755.05</v>
      </c>
      <c r="F12" s="592">
        <f t="shared" si="1"/>
        <v>652</v>
      </c>
      <c r="G12" s="1101">
        <f t="shared" si="1"/>
        <v>6162</v>
      </c>
    </row>
    <row r="13" spans="1:7" ht="15" customHeight="1">
      <c r="A13" s="298" t="s">
        <v>561</v>
      </c>
      <c r="B13" s="582">
        <v>242</v>
      </c>
      <c r="C13" s="1015">
        <v>2287</v>
      </c>
      <c r="D13" s="582">
        <v>125</v>
      </c>
      <c r="E13" s="1015">
        <v>1181.25</v>
      </c>
      <c r="F13" s="582">
        <v>126</v>
      </c>
      <c r="G13" s="582">
        <v>1191</v>
      </c>
    </row>
    <row r="14" spans="1:7" ht="15" customHeight="1">
      <c r="A14" s="298" t="s">
        <v>1149</v>
      </c>
      <c r="B14" s="582">
        <v>239</v>
      </c>
      <c r="C14" s="1015">
        <v>2259</v>
      </c>
      <c r="D14" s="582">
        <v>123</v>
      </c>
      <c r="E14" s="1015">
        <v>1162.3499999999999</v>
      </c>
      <c r="F14" s="582">
        <v>122</v>
      </c>
      <c r="G14" s="582">
        <v>1153</v>
      </c>
    </row>
    <row r="15" spans="1:7" ht="15" customHeight="1">
      <c r="A15" s="298" t="s">
        <v>562</v>
      </c>
      <c r="B15" s="582">
        <v>176</v>
      </c>
      <c r="C15" s="1015">
        <v>1663</v>
      </c>
      <c r="D15" s="582">
        <v>64</v>
      </c>
      <c r="E15" s="1015">
        <v>604.79999999999995</v>
      </c>
      <c r="F15" s="582">
        <v>98</v>
      </c>
      <c r="G15" s="582">
        <v>926</v>
      </c>
    </row>
    <row r="16" spans="1:7" ht="15" customHeight="1">
      <c r="A16" s="298" t="s">
        <v>549</v>
      </c>
      <c r="B16" s="582">
        <v>238</v>
      </c>
      <c r="C16" s="1015">
        <v>2249</v>
      </c>
      <c r="D16" s="582">
        <v>117</v>
      </c>
      <c r="E16" s="1015">
        <v>1105.6500000000001</v>
      </c>
      <c r="F16" s="582">
        <v>121</v>
      </c>
      <c r="G16" s="582">
        <v>1143</v>
      </c>
    </row>
    <row r="17" spans="1:9" ht="15" customHeight="1">
      <c r="A17" s="298" t="s">
        <v>550</v>
      </c>
      <c r="B17" s="582">
        <v>263</v>
      </c>
      <c r="C17" s="1015">
        <v>2485</v>
      </c>
      <c r="D17" s="582">
        <v>127</v>
      </c>
      <c r="E17" s="1015">
        <v>1200.1500000000001</v>
      </c>
      <c r="F17" s="582">
        <v>155</v>
      </c>
      <c r="G17" s="582">
        <v>1465</v>
      </c>
    </row>
    <row r="18" spans="1:9" ht="15" customHeight="1">
      <c r="A18" s="298" t="s">
        <v>563</v>
      </c>
      <c r="B18" s="582">
        <v>88</v>
      </c>
      <c r="C18" s="1015">
        <v>832</v>
      </c>
      <c r="D18" s="582">
        <v>53</v>
      </c>
      <c r="E18" s="1015">
        <v>500.85</v>
      </c>
      <c r="F18" s="582">
        <v>30</v>
      </c>
      <c r="G18" s="582">
        <v>284</v>
      </c>
    </row>
    <row r="19" spans="1:9" ht="15" customHeight="1">
      <c r="A19" s="298" t="s">
        <v>765</v>
      </c>
      <c r="B19" s="1227" t="s">
        <v>570</v>
      </c>
      <c r="C19" s="1227" t="s">
        <v>570</v>
      </c>
      <c r="D19" s="1227" t="s">
        <v>570</v>
      </c>
      <c r="E19" s="1226" t="s">
        <v>570</v>
      </c>
      <c r="F19" s="1227" t="s">
        <v>570</v>
      </c>
      <c r="G19" s="438" t="s">
        <v>570</v>
      </c>
      <c r="I19" s="818"/>
    </row>
    <row r="20" spans="1:9" ht="15" customHeight="1">
      <c r="A20" s="239" t="s">
        <v>15</v>
      </c>
      <c r="B20" s="332">
        <f t="shared" ref="B20:G20" si="2">SUM(B21:B24)</f>
        <v>437</v>
      </c>
      <c r="C20" s="332">
        <f t="shared" si="2"/>
        <v>4130</v>
      </c>
      <c r="D20" s="332">
        <f t="shared" si="2"/>
        <v>247</v>
      </c>
      <c r="E20" s="332">
        <f t="shared" si="2"/>
        <v>2334.06</v>
      </c>
      <c r="F20" s="332">
        <f t="shared" si="2"/>
        <v>238</v>
      </c>
      <c r="G20" s="1102">
        <f t="shared" si="2"/>
        <v>2249</v>
      </c>
    </row>
    <row r="21" spans="1:9" ht="15" customHeight="1">
      <c r="A21" s="298" t="s">
        <v>552</v>
      </c>
      <c r="B21" s="582">
        <v>225</v>
      </c>
      <c r="C21" s="1015">
        <v>2126</v>
      </c>
      <c r="D21" s="582">
        <v>119</v>
      </c>
      <c r="E21" s="1015">
        <v>1124.55</v>
      </c>
      <c r="F21" s="582">
        <v>119</v>
      </c>
      <c r="G21" s="582">
        <v>1125</v>
      </c>
    </row>
    <row r="22" spans="1:9" ht="15" customHeight="1">
      <c r="A22" s="298" t="s">
        <v>565</v>
      </c>
      <c r="B22" s="582">
        <v>26</v>
      </c>
      <c r="C22" s="1015">
        <v>246</v>
      </c>
      <c r="D22" s="582">
        <v>21</v>
      </c>
      <c r="E22" s="1015">
        <v>198.45</v>
      </c>
      <c r="F22" s="582">
        <v>16</v>
      </c>
      <c r="G22" s="582">
        <v>151</v>
      </c>
    </row>
    <row r="23" spans="1:9" ht="15" customHeight="1">
      <c r="A23" s="298" t="s">
        <v>553</v>
      </c>
      <c r="B23" s="582">
        <v>89</v>
      </c>
      <c r="C23" s="1015">
        <v>841</v>
      </c>
      <c r="D23" s="582">
        <v>49</v>
      </c>
      <c r="E23" s="1015">
        <v>463.05</v>
      </c>
      <c r="F23" s="582">
        <v>49</v>
      </c>
      <c r="G23" s="582">
        <v>463</v>
      </c>
    </row>
    <row r="24" spans="1:9" ht="15" customHeight="1">
      <c r="A24" s="298" t="s">
        <v>554</v>
      </c>
      <c r="B24" s="582">
        <v>97</v>
      </c>
      <c r="C24" s="1015">
        <v>917</v>
      </c>
      <c r="D24" s="582">
        <v>58</v>
      </c>
      <c r="E24" s="1015">
        <v>548.01</v>
      </c>
      <c r="F24" s="582">
        <v>54</v>
      </c>
      <c r="G24" s="582">
        <v>510</v>
      </c>
    </row>
    <row r="25" spans="1:9" ht="15" customHeight="1">
      <c r="A25" s="239" t="s">
        <v>337</v>
      </c>
      <c r="B25" s="332">
        <f t="shared" ref="B25:G25" si="3">SUM(B26:B32)</f>
        <v>1141</v>
      </c>
      <c r="C25" s="332">
        <f t="shared" si="3"/>
        <v>10782</v>
      </c>
      <c r="D25" s="332">
        <f t="shared" si="3"/>
        <v>601</v>
      </c>
      <c r="E25" s="332">
        <f t="shared" si="3"/>
        <v>5679.4499999999989</v>
      </c>
      <c r="F25" s="332">
        <f t="shared" si="3"/>
        <v>612</v>
      </c>
      <c r="G25" s="1102">
        <f t="shared" si="3"/>
        <v>5783</v>
      </c>
    </row>
    <row r="26" spans="1:9" ht="15" customHeight="1">
      <c r="A26" s="298" t="s">
        <v>555</v>
      </c>
      <c r="B26" s="582">
        <v>151</v>
      </c>
      <c r="C26" s="1015">
        <v>1427</v>
      </c>
      <c r="D26" s="582">
        <v>85</v>
      </c>
      <c r="E26" s="1015">
        <v>803.25</v>
      </c>
      <c r="F26" s="582">
        <v>82</v>
      </c>
      <c r="G26" s="582">
        <v>775</v>
      </c>
    </row>
    <row r="27" spans="1:9" ht="15" customHeight="1">
      <c r="A27" s="298" t="s">
        <v>557</v>
      </c>
      <c r="B27" s="582">
        <v>216</v>
      </c>
      <c r="C27" s="1015">
        <v>2041</v>
      </c>
      <c r="D27" s="582">
        <v>113</v>
      </c>
      <c r="E27" s="1015">
        <v>1067.8499999999999</v>
      </c>
      <c r="F27" s="582">
        <v>114</v>
      </c>
      <c r="G27" s="582">
        <v>1077</v>
      </c>
    </row>
    <row r="28" spans="1:9" ht="15" customHeight="1">
      <c r="A28" s="298" t="s">
        <v>560</v>
      </c>
      <c r="B28" s="582">
        <v>162</v>
      </c>
      <c r="C28" s="1015">
        <v>1531</v>
      </c>
      <c r="D28" s="582">
        <v>87</v>
      </c>
      <c r="E28" s="1015">
        <v>822.15</v>
      </c>
      <c r="F28" s="582">
        <v>85</v>
      </c>
      <c r="G28" s="582">
        <v>803</v>
      </c>
    </row>
    <row r="29" spans="1:9" ht="15" customHeight="1">
      <c r="A29" s="298" t="s">
        <v>566</v>
      </c>
      <c r="B29" s="582">
        <v>216</v>
      </c>
      <c r="C29" s="1015">
        <v>2041</v>
      </c>
      <c r="D29" s="582">
        <v>108</v>
      </c>
      <c r="E29" s="1015">
        <v>1020.6</v>
      </c>
      <c r="F29" s="582">
        <v>115</v>
      </c>
      <c r="G29" s="582">
        <v>1087</v>
      </c>
    </row>
    <row r="30" spans="1:9" ht="15" customHeight="1">
      <c r="A30" s="298" t="s">
        <v>567</v>
      </c>
      <c r="B30" s="582">
        <v>168</v>
      </c>
      <c r="C30" s="1015">
        <v>1587</v>
      </c>
      <c r="D30" s="582">
        <v>89</v>
      </c>
      <c r="E30" s="1015">
        <v>841.05</v>
      </c>
      <c r="F30" s="582">
        <v>92</v>
      </c>
      <c r="G30" s="582">
        <v>869</v>
      </c>
    </row>
    <row r="31" spans="1:9" ht="15" customHeight="1">
      <c r="A31" s="298" t="s">
        <v>1132</v>
      </c>
      <c r="B31" s="582">
        <v>66</v>
      </c>
      <c r="C31" s="1015">
        <v>624</v>
      </c>
      <c r="D31" s="582">
        <v>32</v>
      </c>
      <c r="E31" s="1015">
        <v>302.39999999999998</v>
      </c>
      <c r="F31" s="582">
        <v>35</v>
      </c>
      <c r="G31" s="582">
        <v>331</v>
      </c>
    </row>
    <row r="32" spans="1:9" ht="15" customHeight="1">
      <c r="A32" s="299" t="s">
        <v>569</v>
      </c>
      <c r="B32" s="583">
        <v>162</v>
      </c>
      <c r="C32" s="1100">
        <v>1531</v>
      </c>
      <c r="D32" s="583">
        <v>87</v>
      </c>
      <c r="E32" s="1100">
        <v>822.15</v>
      </c>
      <c r="F32" s="583">
        <v>89</v>
      </c>
      <c r="G32" s="583">
        <v>841</v>
      </c>
    </row>
    <row r="33" spans="1:7" ht="12.4" customHeight="1">
      <c r="A33" s="1751" t="s">
        <v>1445</v>
      </c>
      <c r="B33" s="1751"/>
      <c r="C33" s="1751"/>
      <c r="D33" s="301"/>
      <c r="F33" s="55"/>
      <c r="G33" s="848" t="s">
        <v>634</v>
      </c>
    </row>
    <row r="34" spans="1:7" ht="15.75" customHeight="1">
      <c r="A34" s="1752"/>
      <c r="B34" s="1752"/>
      <c r="C34" s="1752"/>
      <c r="D34" s="22"/>
      <c r="E34" s="22"/>
      <c r="F34" s="2"/>
    </row>
    <row r="35" spans="1:7" ht="12.4" customHeight="1">
      <c r="A35" s="300"/>
      <c r="B35" s="300"/>
      <c r="E35" s="22"/>
      <c r="F35" s="2"/>
    </row>
    <row r="36" spans="1:7" ht="12.4" customHeight="1">
      <c r="A36" s="300"/>
      <c r="B36" s="300"/>
      <c r="E36" s="2"/>
      <c r="F36" s="2"/>
    </row>
    <row r="37" spans="1:7" ht="12.4" customHeight="1">
      <c r="A37" s="300"/>
      <c r="B37" s="300"/>
      <c r="F37" s="2"/>
    </row>
    <row r="38" spans="1:7" ht="12.4" customHeight="1">
      <c r="F38" s="2"/>
    </row>
    <row r="39" spans="1:7" ht="12.4" customHeight="1">
      <c r="F39" s="2"/>
    </row>
  </sheetData>
  <mergeCells count="8">
    <mergeCell ref="A1:G1"/>
    <mergeCell ref="A33:C34"/>
    <mergeCell ref="A2:G2"/>
    <mergeCell ref="B3:C3"/>
    <mergeCell ref="D3:E3"/>
    <mergeCell ref="F3:G3"/>
    <mergeCell ref="A3:A4"/>
    <mergeCell ref="B11:G11"/>
  </mergeCells>
  <phoneticPr fontId="0" type="noConversion"/>
  <conditionalFormatting sqref="A1:XFD1048576">
    <cfRule type="cellIs" dxfId="4" priority="1" stopIfTrue="1" operator="equal">
      <formula>".."</formula>
    </cfRule>
  </conditionalFormatting>
  <printOptions horizontalCentered="1"/>
  <pageMargins left="0.1" right="0.1" top="0.38" bottom="0.1" header="0.28999999999999998" footer="0.1"/>
  <pageSetup paperSize="9" orientation="landscape" blackAndWhite="1" r:id="rId1"/>
  <headerFooter alignWithMargins="0"/>
</worksheet>
</file>

<file path=xl/worksheets/sheet61.xml><?xml version="1.0" encoding="utf-8"?>
<worksheet xmlns="http://schemas.openxmlformats.org/spreadsheetml/2006/main" xmlns:r="http://schemas.openxmlformats.org/officeDocument/2006/relationships">
  <sheetPr codeName="Sheet65"/>
  <dimension ref="A1:G39"/>
  <sheetViews>
    <sheetView topLeftCell="A26" workbookViewId="0">
      <selection activeCell="G16" sqref="G16"/>
    </sheetView>
  </sheetViews>
  <sheetFormatPr defaultRowHeight="12.75"/>
  <cols>
    <col min="1" max="1" width="19.85546875" customWidth="1"/>
    <col min="2" max="2" width="13" customWidth="1"/>
    <col min="3" max="3" width="11.5703125" customWidth="1"/>
    <col min="4" max="4" width="15.42578125" customWidth="1"/>
    <col min="5" max="5" width="15.140625" customWidth="1"/>
    <col min="6" max="6" width="15.28515625" customWidth="1"/>
  </cols>
  <sheetData>
    <row r="1" spans="1:7" s="2" customFormat="1" ht="16.5" customHeight="1">
      <c r="A1" s="1286" t="s">
        <v>464</v>
      </c>
      <c r="B1" s="1286"/>
      <c r="C1" s="1286"/>
      <c r="D1" s="1286"/>
      <c r="E1" s="1286"/>
      <c r="F1" s="1286"/>
    </row>
    <row r="2" spans="1:7" ht="47.25" customHeight="1">
      <c r="A2" s="1753" t="str">
        <f>CONCATENATE("Wholesale Prices of Agricultural Commodities, Live-stock and Live-stock Products
 (average quality) in different markets in the district of ",District!$A$1)</f>
        <v>Wholesale Prices of Agricultural Commodities, Live-stock and Live-stock Products
 (average quality) in different markets in the district of Jalpaiguri</v>
      </c>
      <c r="B2" s="1753"/>
      <c r="C2" s="1753"/>
      <c r="D2" s="1753"/>
      <c r="E2" s="1753"/>
      <c r="F2" s="1753"/>
    </row>
    <row r="3" spans="1:7" ht="21.75" customHeight="1">
      <c r="A3" s="1288" t="s">
        <v>1369</v>
      </c>
      <c r="B3" s="1288" t="s">
        <v>1370</v>
      </c>
      <c r="C3" s="1288" t="s">
        <v>99</v>
      </c>
      <c r="D3" s="1445" t="s">
        <v>1517</v>
      </c>
      <c r="E3" s="1444"/>
      <c r="F3" s="1446"/>
    </row>
    <row r="4" spans="1:7" ht="14.25" customHeight="1">
      <c r="A4" s="1301"/>
      <c r="B4" s="1301"/>
      <c r="C4" s="1301"/>
      <c r="D4" s="739">
        <v>2012</v>
      </c>
      <c r="E4" s="739">
        <v>2013</v>
      </c>
      <c r="F4" s="739">
        <v>2014</v>
      </c>
      <c r="G4" s="7"/>
    </row>
    <row r="5" spans="1:7" ht="18" customHeight="1">
      <c r="A5" s="92" t="s">
        <v>278</v>
      </c>
      <c r="B5" s="57" t="s">
        <v>279</v>
      </c>
      <c r="C5" s="57" t="s">
        <v>280</v>
      </c>
      <c r="D5" s="57" t="s">
        <v>281</v>
      </c>
      <c r="E5" s="57" t="s">
        <v>282</v>
      </c>
      <c r="F5" s="58" t="s">
        <v>283</v>
      </c>
    </row>
    <row r="6" spans="1:7" ht="22.5" customHeight="1">
      <c r="A6" s="284" t="s">
        <v>1084</v>
      </c>
      <c r="B6" s="305" t="s">
        <v>550</v>
      </c>
      <c r="C6" s="91" t="s">
        <v>1085</v>
      </c>
      <c r="D6" s="1119">
        <v>1150</v>
      </c>
      <c r="E6" s="1119">
        <v>1306</v>
      </c>
      <c r="F6" s="1119">
        <v>1500</v>
      </c>
    </row>
    <row r="7" spans="1:7" ht="22.5" customHeight="1">
      <c r="A7" s="284" t="s">
        <v>1086</v>
      </c>
      <c r="B7" s="305" t="s">
        <v>111</v>
      </c>
      <c r="C7" s="91" t="s">
        <v>111</v>
      </c>
      <c r="D7" s="582">
        <v>900</v>
      </c>
      <c r="E7" s="582">
        <v>1013</v>
      </c>
      <c r="F7" s="582">
        <v>1150</v>
      </c>
    </row>
    <row r="8" spans="1:7" ht="22.5" customHeight="1">
      <c r="A8" s="284" t="s">
        <v>1092</v>
      </c>
      <c r="B8" s="305" t="s">
        <v>111</v>
      </c>
      <c r="C8" s="91" t="s">
        <v>111</v>
      </c>
      <c r="D8" s="582">
        <v>2250</v>
      </c>
      <c r="E8" s="582">
        <v>2556</v>
      </c>
      <c r="F8" s="582">
        <v>3200</v>
      </c>
    </row>
    <row r="9" spans="1:7" ht="22.5" customHeight="1">
      <c r="A9" s="284" t="s">
        <v>164</v>
      </c>
      <c r="B9" s="305" t="s">
        <v>111</v>
      </c>
      <c r="C9" s="91" t="s">
        <v>111</v>
      </c>
      <c r="D9" s="582">
        <v>1650</v>
      </c>
      <c r="E9" s="582">
        <v>1919</v>
      </c>
      <c r="F9" s="582">
        <v>2250</v>
      </c>
    </row>
    <row r="10" spans="1:7" ht="22.5" customHeight="1">
      <c r="A10" s="284" t="s">
        <v>940</v>
      </c>
      <c r="B10" s="305" t="s">
        <v>111</v>
      </c>
      <c r="C10" s="91" t="s">
        <v>111</v>
      </c>
      <c r="D10" s="582">
        <v>1260</v>
      </c>
      <c r="E10" s="582">
        <v>1419</v>
      </c>
      <c r="F10" s="582">
        <v>1500</v>
      </c>
    </row>
    <row r="11" spans="1:7" ht="22.5" customHeight="1">
      <c r="A11" s="284" t="s">
        <v>941</v>
      </c>
      <c r="B11" s="305" t="s">
        <v>111</v>
      </c>
      <c r="C11" s="91" t="s">
        <v>111</v>
      </c>
      <c r="D11" s="867">
        <v>3400</v>
      </c>
      <c r="E11" s="867">
        <v>3550</v>
      </c>
      <c r="F11" s="867">
        <v>3850</v>
      </c>
    </row>
    <row r="12" spans="1:7" ht="22.5" customHeight="1">
      <c r="A12" s="284" t="s">
        <v>715</v>
      </c>
      <c r="B12" s="305" t="s">
        <v>1149</v>
      </c>
      <c r="C12" s="91" t="s">
        <v>111</v>
      </c>
      <c r="D12" s="582">
        <v>5600</v>
      </c>
      <c r="E12" s="582">
        <v>5800</v>
      </c>
      <c r="F12" s="582">
        <v>6500</v>
      </c>
    </row>
    <row r="13" spans="1:7" ht="22.5" customHeight="1">
      <c r="A13" s="284" t="s">
        <v>714</v>
      </c>
      <c r="B13" s="305" t="s">
        <v>111</v>
      </c>
      <c r="C13" s="91" t="s">
        <v>111</v>
      </c>
      <c r="D13" s="582">
        <v>4850</v>
      </c>
      <c r="E13" s="582">
        <v>6850</v>
      </c>
      <c r="F13" s="582">
        <v>7550</v>
      </c>
    </row>
    <row r="14" spans="1:7" ht="22.5" customHeight="1">
      <c r="A14" s="284" t="s">
        <v>716</v>
      </c>
      <c r="B14" s="305" t="s">
        <v>111</v>
      </c>
      <c r="C14" s="91" t="s">
        <v>111</v>
      </c>
      <c r="D14" s="582">
        <v>4400</v>
      </c>
      <c r="E14" s="582">
        <v>4800</v>
      </c>
      <c r="F14" s="582">
        <v>5200</v>
      </c>
    </row>
    <row r="15" spans="1:7" ht="22.5" customHeight="1">
      <c r="A15" s="284" t="s">
        <v>717</v>
      </c>
      <c r="B15" s="305" t="s">
        <v>111</v>
      </c>
      <c r="C15" s="91" t="s">
        <v>111</v>
      </c>
      <c r="D15" s="582">
        <v>6800</v>
      </c>
      <c r="E15" s="582">
        <v>7000</v>
      </c>
      <c r="F15" s="582">
        <v>7800</v>
      </c>
    </row>
    <row r="16" spans="1:7" ht="22.5" hidden="1" customHeight="1">
      <c r="A16" s="284" t="s">
        <v>718</v>
      </c>
      <c r="B16" s="305" t="s">
        <v>111</v>
      </c>
      <c r="C16" s="91" t="s">
        <v>111</v>
      </c>
      <c r="D16" s="1120"/>
      <c r="E16" s="1120"/>
      <c r="F16" s="1120"/>
    </row>
    <row r="17" spans="1:6" ht="22.5" customHeight="1">
      <c r="A17" s="284" t="s">
        <v>719</v>
      </c>
      <c r="B17" s="305" t="s">
        <v>111</v>
      </c>
      <c r="C17" s="91" t="s">
        <v>111</v>
      </c>
      <c r="D17" s="582">
        <v>6000</v>
      </c>
      <c r="E17" s="582">
        <v>6400</v>
      </c>
      <c r="F17" s="582">
        <v>7200</v>
      </c>
    </row>
    <row r="18" spans="1:6" ht="22.5" customHeight="1">
      <c r="A18" s="284" t="s">
        <v>165</v>
      </c>
      <c r="B18" s="305" t="s">
        <v>111</v>
      </c>
      <c r="C18" s="91" t="s">
        <v>111</v>
      </c>
      <c r="D18" s="582">
        <v>380</v>
      </c>
      <c r="E18" s="582">
        <v>450</v>
      </c>
      <c r="F18" s="582">
        <v>675</v>
      </c>
    </row>
    <row r="19" spans="1:6" ht="22.5" customHeight="1">
      <c r="A19" s="284" t="s">
        <v>991</v>
      </c>
      <c r="B19" s="305" t="s">
        <v>111</v>
      </c>
      <c r="C19" s="91" t="s">
        <v>111</v>
      </c>
      <c r="D19" s="1121">
        <v>1050</v>
      </c>
      <c r="E19" s="1121">
        <v>1100</v>
      </c>
      <c r="F19" s="1121">
        <v>1325</v>
      </c>
    </row>
    <row r="20" spans="1:6" ht="22.5" customHeight="1">
      <c r="A20" s="284" t="s">
        <v>987</v>
      </c>
      <c r="B20" s="305" t="s">
        <v>111</v>
      </c>
      <c r="C20" s="91" t="s">
        <v>111</v>
      </c>
      <c r="D20" s="582">
        <v>300</v>
      </c>
      <c r="E20" s="582">
        <v>400</v>
      </c>
      <c r="F20" s="582">
        <v>370</v>
      </c>
    </row>
    <row r="21" spans="1:6" ht="22.5" customHeight="1">
      <c r="A21" s="284" t="s">
        <v>989</v>
      </c>
      <c r="B21" s="305" t="s">
        <v>111</v>
      </c>
      <c r="C21" s="91" t="s">
        <v>111</v>
      </c>
      <c r="D21" s="582">
        <v>600</v>
      </c>
      <c r="E21" s="582">
        <v>670</v>
      </c>
      <c r="F21" s="582">
        <v>900</v>
      </c>
    </row>
    <row r="22" spans="1:6" ht="22.5" customHeight="1">
      <c r="A22" s="284" t="s">
        <v>720</v>
      </c>
      <c r="B22" s="305" t="s">
        <v>111</v>
      </c>
      <c r="C22" s="91" t="s">
        <v>721</v>
      </c>
      <c r="D22" s="582">
        <v>325</v>
      </c>
      <c r="E22" s="582">
        <v>370</v>
      </c>
      <c r="F22" s="582">
        <v>400</v>
      </c>
    </row>
    <row r="23" spans="1:6" ht="22.5" customHeight="1">
      <c r="A23" s="284" t="s">
        <v>722</v>
      </c>
      <c r="B23" s="305" t="s">
        <v>111</v>
      </c>
      <c r="C23" s="91" t="s">
        <v>724</v>
      </c>
      <c r="D23" s="582">
        <v>2500</v>
      </c>
      <c r="E23" s="582">
        <v>2800</v>
      </c>
      <c r="F23" s="582">
        <v>3200</v>
      </c>
    </row>
    <row r="24" spans="1:6" ht="22.5" hidden="1" customHeight="1">
      <c r="A24" s="284" t="s">
        <v>725</v>
      </c>
      <c r="B24" s="305" t="s">
        <v>723</v>
      </c>
      <c r="C24" s="91" t="s">
        <v>726</v>
      </c>
      <c r="D24" s="1120"/>
      <c r="E24" s="1120"/>
      <c r="F24" s="1120"/>
    </row>
    <row r="25" spans="1:6" ht="22.5" hidden="1" customHeight="1">
      <c r="A25" s="284" t="s">
        <v>727</v>
      </c>
      <c r="B25" s="305" t="s">
        <v>723</v>
      </c>
      <c r="C25" s="91" t="s">
        <v>111</v>
      </c>
      <c r="D25" s="1120"/>
      <c r="E25" s="1120"/>
      <c r="F25" s="1120"/>
    </row>
    <row r="26" spans="1:6" ht="22.5" customHeight="1">
      <c r="A26" s="284" t="s">
        <v>167</v>
      </c>
      <c r="B26" s="305" t="s">
        <v>558</v>
      </c>
      <c r="C26" s="91" t="s">
        <v>166</v>
      </c>
      <c r="D26" s="582">
        <v>2900</v>
      </c>
      <c r="E26" s="582">
        <v>3000</v>
      </c>
      <c r="F26" s="582">
        <v>3500</v>
      </c>
    </row>
    <row r="27" spans="1:6" ht="22.5" customHeight="1">
      <c r="A27" s="284" t="s">
        <v>728</v>
      </c>
      <c r="B27" s="305" t="s">
        <v>111</v>
      </c>
      <c r="C27" s="91" t="s">
        <v>1085</v>
      </c>
      <c r="D27" s="582">
        <v>1800</v>
      </c>
      <c r="E27" s="582">
        <v>2000</v>
      </c>
      <c r="F27" s="582">
        <v>2200</v>
      </c>
    </row>
    <row r="28" spans="1:6" ht="22.5" customHeight="1">
      <c r="A28" s="284" t="s">
        <v>1388</v>
      </c>
      <c r="B28" s="305" t="s">
        <v>111</v>
      </c>
      <c r="C28" s="91" t="s">
        <v>111</v>
      </c>
      <c r="D28" s="582">
        <v>3200</v>
      </c>
      <c r="E28" s="582">
        <v>4000</v>
      </c>
      <c r="F28" s="582">
        <v>5000</v>
      </c>
    </row>
    <row r="29" spans="1:6" ht="22.5" customHeight="1">
      <c r="A29" s="284" t="s">
        <v>1472</v>
      </c>
      <c r="B29" s="305" t="s">
        <v>111</v>
      </c>
      <c r="C29" s="91" t="s">
        <v>111</v>
      </c>
      <c r="D29" s="582">
        <v>2855</v>
      </c>
      <c r="E29" s="582">
        <v>3200</v>
      </c>
      <c r="F29" s="582">
        <v>3200</v>
      </c>
    </row>
    <row r="30" spans="1:6" ht="22.5" customHeight="1">
      <c r="A30" s="284" t="s">
        <v>168</v>
      </c>
      <c r="B30" s="305" t="s">
        <v>111</v>
      </c>
      <c r="C30" s="91" t="s">
        <v>111</v>
      </c>
      <c r="D30" s="582">
        <v>3550</v>
      </c>
      <c r="E30" s="582">
        <v>3800</v>
      </c>
      <c r="F30" s="582">
        <v>3850</v>
      </c>
    </row>
    <row r="31" spans="1:6" ht="22.5" hidden="1" customHeight="1">
      <c r="A31" s="284" t="s">
        <v>1473</v>
      </c>
      <c r="B31" s="305" t="s">
        <v>111</v>
      </c>
      <c r="C31" s="91" t="s">
        <v>111</v>
      </c>
      <c r="D31" s="1120"/>
      <c r="E31" s="1120"/>
      <c r="F31" s="1120"/>
    </row>
    <row r="32" spans="1:6" ht="22.5" customHeight="1">
      <c r="A32" s="284" t="s">
        <v>169</v>
      </c>
      <c r="B32" s="305" t="s">
        <v>111</v>
      </c>
      <c r="C32" s="91" t="s">
        <v>111</v>
      </c>
      <c r="D32" s="582">
        <v>3090</v>
      </c>
      <c r="E32" s="582">
        <v>3400</v>
      </c>
      <c r="F32" s="582">
        <v>3900</v>
      </c>
    </row>
    <row r="33" spans="1:6" ht="22.5" customHeight="1">
      <c r="A33" s="303" t="s">
        <v>1561</v>
      </c>
      <c r="B33" s="306" t="s">
        <v>111</v>
      </c>
      <c r="C33" s="275" t="s">
        <v>111</v>
      </c>
      <c r="D33" s="583">
        <v>2500</v>
      </c>
      <c r="E33" s="868" t="s">
        <v>117</v>
      </c>
      <c r="F33" s="868" t="s">
        <v>117</v>
      </c>
    </row>
    <row r="34" spans="1:6">
      <c r="A34" s="359"/>
      <c r="B34" s="359"/>
      <c r="F34" s="940" t="s">
        <v>225</v>
      </c>
    </row>
    <row r="35" spans="1:6">
      <c r="A35" s="359"/>
      <c r="B35" s="359"/>
      <c r="C35" s="408"/>
      <c r="D35" s="282"/>
    </row>
    <row r="36" spans="1:6">
      <c r="D36" s="138"/>
      <c r="E36" s="138"/>
      <c r="F36" s="138"/>
    </row>
    <row r="39" spans="1:6" ht="12.75" customHeight="1"/>
  </sheetData>
  <mergeCells count="6">
    <mergeCell ref="D3:F3"/>
    <mergeCell ref="A2:F2"/>
    <mergeCell ref="A1:F1"/>
    <mergeCell ref="A3:A4"/>
    <mergeCell ref="B3:B4"/>
    <mergeCell ref="C3:C4"/>
  </mergeCells>
  <phoneticPr fontId="0" type="noConversion"/>
  <conditionalFormatting sqref="A1:XFD1048576">
    <cfRule type="cellIs" dxfId="3" priority="1" stopIfTrue="1" operator="equal">
      <formula>".."</formula>
    </cfRule>
  </conditionalFormatting>
  <printOptions horizontalCentered="1"/>
  <pageMargins left="0.1" right="0.1" top="0.73" bottom="0.1" header="0.5" footer="0.1"/>
  <pageSetup paperSize="9" orientation="portrait" blackAndWhite="1" r:id="rId1"/>
  <headerFooter alignWithMargins="0"/>
</worksheet>
</file>

<file path=xl/worksheets/sheet62.xml><?xml version="1.0" encoding="utf-8"?>
<worksheet xmlns="http://schemas.openxmlformats.org/spreadsheetml/2006/main" xmlns:r="http://schemas.openxmlformats.org/officeDocument/2006/relationships">
  <sheetPr codeName="Sheet66"/>
  <dimension ref="A1:F36"/>
  <sheetViews>
    <sheetView topLeftCell="A31" workbookViewId="0">
      <selection activeCell="E10" sqref="E10:F10"/>
    </sheetView>
  </sheetViews>
  <sheetFormatPr defaultRowHeight="12.75"/>
  <cols>
    <col min="1" max="1" width="17.5703125" customWidth="1"/>
    <col min="2" max="6" width="14.5703125" customWidth="1"/>
  </cols>
  <sheetData>
    <row r="1" spans="1:6">
      <c r="A1" s="1286" t="s">
        <v>466</v>
      </c>
      <c r="B1" s="1286"/>
      <c r="C1" s="1286"/>
      <c r="D1" s="1286"/>
      <c r="E1" s="1286"/>
      <c r="F1" s="1286"/>
    </row>
    <row r="2" spans="1:6" ht="18" customHeight="1">
      <c r="A2" s="1287" t="str">
        <f>CONCATENATE("Regulated Market by category in the district of ",District!$A$1)</f>
        <v>Regulated Market by category in the district of Jalpaiguri</v>
      </c>
      <c r="B2" s="1287"/>
      <c r="C2" s="1287"/>
      <c r="D2" s="1287"/>
      <c r="E2" s="1287"/>
      <c r="F2" s="1287"/>
    </row>
    <row r="3" spans="1:6" ht="12" customHeight="1">
      <c r="A3" s="359"/>
      <c r="B3" s="405"/>
      <c r="C3" s="359"/>
      <c r="D3" s="359"/>
      <c r="E3" s="359"/>
      <c r="F3" s="665" t="s">
        <v>312</v>
      </c>
    </row>
    <row r="4" spans="1:6" ht="18" customHeight="1">
      <c r="A4" s="1379" t="s">
        <v>128</v>
      </c>
      <c r="B4" s="1380"/>
      <c r="C4" s="1379" t="s">
        <v>1371</v>
      </c>
      <c r="D4" s="1380"/>
      <c r="E4" s="1425" t="s">
        <v>835</v>
      </c>
      <c r="F4" s="1380"/>
    </row>
    <row r="5" spans="1:6" ht="15.75" customHeight="1">
      <c r="A5" s="1385" t="s">
        <v>278</v>
      </c>
      <c r="B5" s="1386"/>
      <c r="C5" s="1385" t="s">
        <v>279</v>
      </c>
      <c r="D5" s="1386"/>
      <c r="E5" s="1424" t="s">
        <v>280</v>
      </c>
      <c r="F5" s="1386"/>
    </row>
    <row r="6" spans="1:6" ht="23.25" customHeight="1">
      <c r="A6" s="1613" t="s">
        <v>126</v>
      </c>
      <c r="B6" s="1614"/>
      <c r="C6" s="1594">
        <v>3</v>
      </c>
      <c r="D6" s="1595"/>
      <c r="E6" s="1594">
        <v>57</v>
      </c>
      <c r="F6" s="1595"/>
    </row>
    <row r="7" spans="1:6" ht="23.25" customHeight="1">
      <c r="A7" s="1762" t="s">
        <v>1007</v>
      </c>
      <c r="B7" s="1763"/>
      <c r="C7" s="1586">
        <v>3</v>
      </c>
      <c r="D7" s="1587"/>
      <c r="E7" s="1586">
        <v>57</v>
      </c>
      <c r="F7" s="1587"/>
    </row>
    <row r="8" spans="1:6" ht="23.25" customHeight="1">
      <c r="A8" s="1586" t="s">
        <v>181</v>
      </c>
      <c r="B8" s="1587"/>
      <c r="C8" s="1324">
        <v>3</v>
      </c>
      <c r="D8" s="1316"/>
      <c r="E8" s="1324">
        <v>57</v>
      </c>
      <c r="F8" s="1316"/>
    </row>
    <row r="9" spans="1:6" ht="23.25" customHeight="1">
      <c r="A9" s="1324" t="s">
        <v>127</v>
      </c>
      <c r="B9" s="1587"/>
      <c r="C9" s="1324">
        <v>3</v>
      </c>
      <c r="D9" s="1316"/>
      <c r="E9" s="1764">
        <v>28</v>
      </c>
      <c r="F9" s="1638"/>
    </row>
    <row r="10" spans="1:6" ht="23.25" customHeight="1">
      <c r="A10" s="1765" t="s">
        <v>1619</v>
      </c>
      <c r="B10" s="1590"/>
      <c r="C10" s="1447">
        <v>3</v>
      </c>
      <c r="D10" s="1448"/>
      <c r="E10" s="1771">
        <v>28</v>
      </c>
      <c r="F10" s="1772"/>
    </row>
    <row r="11" spans="1:6">
      <c r="A11" s="1178"/>
      <c r="B11" s="1178"/>
      <c r="D11" s="31"/>
      <c r="E11" s="31"/>
      <c r="F11" s="886" t="s">
        <v>1112</v>
      </c>
    </row>
    <row r="12" spans="1:6">
      <c r="A12" s="524"/>
      <c r="B12" s="1008"/>
      <c r="D12" s="31"/>
      <c r="E12" s="31"/>
      <c r="F12" s="886"/>
    </row>
    <row r="13" spans="1:6" ht="26.25" customHeight="1">
      <c r="A13" s="31"/>
      <c r="B13" s="31"/>
      <c r="D13" s="31"/>
      <c r="E13" s="31"/>
      <c r="F13" s="383"/>
    </row>
    <row r="14" spans="1:6">
      <c r="A14" s="1286" t="s">
        <v>465</v>
      </c>
      <c r="B14" s="1286"/>
      <c r="C14" s="1286"/>
      <c r="D14" s="1286"/>
      <c r="E14" s="1286"/>
      <c r="F14" s="1286"/>
    </row>
    <row r="15" spans="1:6" ht="34.5" customHeight="1">
      <c r="A15" s="1311" t="str">
        <f>CONCATENATE("Consumer Price Index Numbers for Families of all Expenditure Groups Combined 
in the district of ",District!$A$1)</f>
        <v>Consumer Price Index Numbers for Families of all Expenditure Groups Combined 
in the district of Jalpaiguri</v>
      </c>
      <c r="B15" s="1311"/>
      <c r="C15" s="1311"/>
      <c r="D15" s="1311"/>
      <c r="E15" s="1311"/>
      <c r="F15" s="1311"/>
    </row>
    <row r="16" spans="1:6" ht="12" customHeight="1">
      <c r="A16" s="1085" t="s">
        <v>208</v>
      </c>
      <c r="B16" s="405"/>
      <c r="D16" s="410"/>
      <c r="E16" s="359"/>
      <c r="F16" s="1086" t="s">
        <v>206</v>
      </c>
    </row>
    <row r="17" spans="1:6" ht="25.5" customHeight="1">
      <c r="A17" s="1613" t="s">
        <v>57</v>
      </c>
      <c r="B17" s="1774"/>
      <c r="C17" s="1614"/>
      <c r="D17" s="1613" t="s">
        <v>1082</v>
      </c>
      <c r="E17" s="1774"/>
      <c r="F17" s="1614"/>
    </row>
    <row r="18" spans="1:6" ht="19.5" customHeight="1">
      <c r="A18" s="1767" t="s">
        <v>278</v>
      </c>
      <c r="B18" s="1768"/>
      <c r="C18" s="1769"/>
      <c r="D18" s="1767" t="s">
        <v>279</v>
      </c>
      <c r="E18" s="1768"/>
      <c r="F18" s="1769"/>
    </row>
    <row r="19" spans="1:6" ht="19.5" customHeight="1">
      <c r="A19" s="1657">
        <v>2011</v>
      </c>
      <c r="B19" s="1766"/>
      <c r="C19" s="1658"/>
      <c r="D19" s="1770">
        <v>132.80000000000001</v>
      </c>
      <c r="E19" s="1770"/>
      <c r="F19" s="1623"/>
    </row>
    <row r="20" spans="1:6" ht="19.5" customHeight="1">
      <c r="A20" s="1321">
        <v>2012</v>
      </c>
      <c r="B20" s="1770"/>
      <c r="C20" s="1623"/>
      <c r="D20" s="1321">
        <v>149.5</v>
      </c>
      <c r="E20" s="1770"/>
      <c r="F20" s="1623"/>
    </row>
    <row r="21" spans="1:6" ht="21" customHeight="1">
      <c r="A21" s="1321">
        <v>2013</v>
      </c>
      <c r="B21" s="1770"/>
      <c r="C21" s="1623"/>
      <c r="D21" s="1770">
        <v>163.69999999999999</v>
      </c>
      <c r="E21" s="1770"/>
      <c r="F21" s="1623"/>
    </row>
    <row r="22" spans="1:6" ht="24" customHeight="1">
      <c r="A22" s="1624">
        <v>2014</v>
      </c>
      <c r="B22" s="1773"/>
      <c r="C22" s="1625"/>
      <c r="D22" s="1778">
        <f>AVERAGE(D24:F35)</f>
        <v>177.14999999999998</v>
      </c>
      <c r="E22" s="1779"/>
      <c r="F22" s="1780"/>
    </row>
    <row r="23" spans="1:6" ht="24" customHeight="1">
      <c r="A23" s="1775" t="str">
        <f>"Year : " &amp; A22</f>
        <v>Year : 2014</v>
      </c>
      <c r="B23" s="1776"/>
      <c r="C23" s="1776"/>
      <c r="D23" s="1776"/>
      <c r="E23" s="1776"/>
      <c r="F23" s="1777"/>
    </row>
    <row r="24" spans="1:6" ht="24" customHeight="1">
      <c r="A24" s="1613" t="s">
        <v>288</v>
      </c>
      <c r="B24" s="1774"/>
      <c r="C24" s="1614"/>
      <c r="D24" s="1781">
        <v>169.4</v>
      </c>
      <c r="E24" s="1782"/>
      <c r="F24" s="1783"/>
    </row>
    <row r="25" spans="1:6" ht="24" customHeight="1">
      <c r="A25" s="1324" t="s">
        <v>289</v>
      </c>
      <c r="B25" s="1314"/>
      <c r="C25" s="1316"/>
      <c r="D25" s="1759">
        <v>170</v>
      </c>
      <c r="E25" s="1760"/>
      <c r="F25" s="1761"/>
    </row>
    <row r="26" spans="1:6" ht="24" customHeight="1">
      <c r="A26" s="1324" t="s">
        <v>290</v>
      </c>
      <c r="B26" s="1314"/>
      <c r="C26" s="1316"/>
      <c r="D26" s="1759">
        <v>170.7</v>
      </c>
      <c r="E26" s="1760"/>
      <c r="F26" s="1761"/>
    </row>
    <row r="27" spans="1:6" ht="24" customHeight="1">
      <c r="A27" s="1324" t="s">
        <v>291</v>
      </c>
      <c r="B27" s="1314"/>
      <c r="C27" s="1316"/>
      <c r="D27" s="1759">
        <v>172</v>
      </c>
      <c r="E27" s="1760"/>
      <c r="F27" s="1761"/>
    </row>
    <row r="28" spans="1:6" ht="24" customHeight="1">
      <c r="A28" s="1324" t="s">
        <v>292</v>
      </c>
      <c r="B28" s="1314"/>
      <c r="C28" s="1316"/>
      <c r="D28" s="1759">
        <v>174.8</v>
      </c>
      <c r="E28" s="1760"/>
      <c r="F28" s="1761"/>
    </row>
    <row r="29" spans="1:6" ht="24" customHeight="1">
      <c r="A29" s="1324" t="s">
        <v>293</v>
      </c>
      <c r="B29" s="1314"/>
      <c r="C29" s="1316"/>
      <c r="D29" s="1759">
        <v>179.8</v>
      </c>
      <c r="E29" s="1760"/>
      <c r="F29" s="1761"/>
    </row>
    <row r="30" spans="1:6" ht="24" customHeight="1">
      <c r="A30" s="1324" t="s">
        <v>294</v>
      </c>
      <c r="B30" s="1314"/>
      <c r="C30" s="1316"/>
      <c r="D30" s="1653">
        <v>180.8</v>
      </c>
      <c r="E30" s="1757"/>
      <c r="F30" s="1654"/>
    </row>
    <row r="31" spans="1:6" ht="24" customHeight="1">
      <c r="A31" s="1324" t="s">
        <v>295</v>
      </c>
      <c r="B31" s="1314"/>
      <c r="C31" s="1316"/>
      <c r="D31" s="1653">
        <v>181.2</v>
      </c>
      <c r="E31" s="1757"/>
      <c r="F31" s="1654"/>
    </row>
    <row r="32" spans="1:6" ht="24" customHeight="1">
      <c r="A32" s="1324" t="s">
        <v>296</v>
      </c>
      <c r="B32" s="1314"/>
      <c r="C32" s="1316"/>
      <c r="D32" s="1653">
        <v>181.9</v>
      </c>
      <c r="E32" s="1757"/>
      <c r="F32" s="1654"/>
    </row>
    <row r="33" spans="1:6" ht="24" customHeight="1">
      <c r="A33" s="1324" t="s">
        <v>297</v>
      </c>
      <c r="B33" s="1314"/>
      <c r="C33" s="1316"/>
      <c r="D33" s="1653">
        <v>182.4</v>
      </c>
      <c r="E33" s="1757"/>
      <c r="F33" s="1654"/>
    </row>
    <row r="34" spans="1:6" ht="24" customHeight="1">
      <c r="A34" s="1324" t="s">
        <v>298</v>
      </c>
      <c r="B34" s="1314"/>
      <c r="C34" s="1316"/>
      <c r="D34" s="1653">
        <v>182.1</v>
      </c>
      <c r="E34" s="1757"/>
      <c r="F34" s="1654"/>
    </row>
    <row r="35" spans="1:6" ht="24" customHeight="1">
      <c r="A35" s="1447" t="s">
        <v>299</v>
      </c>
      <c r="B35" s="1597"/>
      <c r="C35" s="1448"/>
      <c r="D35" s="1662">
        <v>180.7</v>
      </c>
      <c r="E35" s="1758"/>
      <c r="F35" s="1663"/>
    </row>
    <row r="36" spans="1:6">
      <c r="B36" s="359"/>
      <c r="C36" s="359"/>
      <c r="D36" s="429"/>
      <c r="E36" s="429"/>
      <c r="F36" s="886" t="s">
        <v>532</v>
      </c>
    </row>
  </sheetData>
  <mergeCells count="62">
    <mergeCell ref="A1:F1"/>
    <mergeCell ref="A2:F2"/>
    <mergeCell ref="C9:D9"/>
    <mergeCell ref="E4:F4"/>
    <mergeCell ref="E5:F5"/>
    <mergeCell ref="E6:F6"/>
    <mergeCell ref="C8:D8"/>
    <mergeCell ref="E8:F8"/>
    <mergeCell ref="C4:D4"/>
    <mergeCell ref="C7:D7"/>
    <mergeCell ref="E7:F7"/>
    <mergeCell ref="A9:B9"/>
    <mergeCell ref="A4:B4"/>
    <mergeCell ref="A5:B5"/>
    <mergeCell ref="A25:C25"/>
    <mergeCell ref="D17:F17"/>
    <mergeCell ref="D22:F22"/>
    <mergeCell ref="D25:F25"/>
    <mergeCell ref="D26:F26"/>
    <mergeCell ref="D21:F21"/>
    <mergeCell ref="D19:F19"/>
    <mergeCell ref="A20:C20"/>
    <mergeCell ref="D20:F20"/>
    <mergeCell ref="A17:C17"/>
    <mergeCell ref="D24:F24"/>
    <mergeCell ref="E10:F10"/>
    <mergeCell ref="A22:C22"/>
    <mergeCell ref="A24:C24"/>
    <mergeCell ref="A23:F23"/>
    <mergeCell ref="C10:D10"/>
    <mergeCell ref="A14:F14"/>
    <mergeCell ref="D31:F31"/>
    <mergeCell ref="A6:B6"/>
    <mergeCell ref="A7:B7"/>
    <mergeCell ref="C5:D5"/>
    <mergeCell ref="A15:F15"/>
    <mergeCell ref="E9:F9"/>
    <mergeCell ref="A8:B8"/>
    <mergeCell ref="C6:D6"/>
    <mergeCell ref="A10:B10"/>
    <mergeCell ref="A19:C19"/>
    <mergeCell ref="D29:F29"/>
    <mergeCell ref="A31:C31"/>
    <mergeCell ref="D18:F18"/>
    <mergeCell ref="A26:C26"/>
    <mergeCell ref="A18:C18"/>
    <mergeCell ref="A21:C21"/>
    <mergeCell ref="A28:C28"/>
    <mergeCell ref="A30:C30"/>
    <mergeCell ref="D30:F30"/>
    <mergeCell ref="D28:F28"/>
    <mergeCell ref="A27:C27"/>
    <mergeCell ref="A29:C29"/>
    <mergeCell ref="D27:F27"/>
    <mergeCell ref="A35:C35"/>
    <mergeCell ref="D34:F34"/>
    <mergeCell ref="D35:F35"/>
    <mergeCell ref="D32:F32"/>
    <mergeCell ref="D33:F33"/>
    <mergeCell ref="A32:C32"/>
    <mergeCell ref="A33:C33"/>
    <mergeCell ref="A34:C34"/>
  </mergeCells>
  <phoneticPr fontId="0" type="noConversion"/>
  <printOptions horizontalCentered="1"/>
  <pageMargins left="0.1" right="0.1" top="0.77" bottom="0.1" header="0.5" footer="0.1"/>
  <pageSetup paperSize="9" orientation="portrait" blackAndWhite="1" r:id="rId1"/>
  <headerFooter alignWithMargins="0"/>
</worksheet>
</file>

<file path=xl/worksheets/sheet63.xml><?xml version="1.0" encoding="utf-8"?>
<worksheet xmlns="http://schemas.openxmlformats.org/spreadsheetml/2006/main" xmlns:r="http://schemas.openxmlformats.org/officeDocument/2006/relationships">
  <sheetPr codeName="Sheet67"/>
  <dimension ref="A1:I34"/>
  <sheetViews>
    <sheetView topLeftCell="A13" workbookViewId="0">
      <selection activeCell="E30" sqref="E30:F30"/>
    </sheetView>
  </sheetViews>
  <sheetFormatPr defaultRowHeight="12.75"/>
  <cols>
    <col min="1" max="1" width="20" customWidth="1"/>
    <col min="2" max="5" width="12.7109375" customWidth="1"/>
    <col min="6" max="6" width="13.28515625" customWidth="1"/>
  </cols>
  <sheetData>
    <row r="1" spans="1:8">
      <c r="A1" s="1524" t="s">
        <v>467</v>
      </c>
      <c r="B1" s="1524"/>
      <c r="C1" s="1524"/>
      <c r="D1" s="1524"/>
      <c r="E1" s="1524"/>
      <c r="F1" s="1524"/>
    </row>
    <row r="2" spans="1:8" ht="35.25" customHeight="1">
      <c r="A2" s="1311" t="str">
        <f>CONCATENATE("Consumer Price Index Numbers for Industrial Workers 
in the district of ",District!$A$1)</f>
        <v>Consumer Price Index Numbers for Industrial Workers 
in the district of Jalpaiguri</v>
      </c>
      <c r="B2" s="1311"/>
      <c r="C2" s="1311"/>
      <c r="D2" s="1311"/>
      <c r="E2" s="1311"/>
      <c r="F2" s="1311"/>
      <c r="G2" s="35"/>
      <c r="H2" s="35"/>
    </row>
    <row r="3" spans="1:8" s="877" customFormat="1" ht="12" customHeight="1">
      <c r="A3" s="876" t="s">
        <v>1089</v>
      </c>
      <c r="B3" s="1087"/>
      <c r="C3" s="1087"/>
      <c r="D3" s="1087"/>
      <c r="E3" s="1088"/>
      <c r="F3" s="1089" t="s">
        <v>131</v>
      </c>
      <c r="G3" s="1087"/>
      <c r="H3" s="1087"/>
    </row>
    <row r="4" spans="1:8" ht="18" customHeight="1">
      <c r="A4" s="406" t="s">
        <v>1372</v>
      </c>
      <c r="B4" s="657">
        <v>2010</v>
      </c>
      <c r="C4" s="657">
        <v>2011</v>
      </c>
      <c r="D4" s="657">
        <v>2012</v>
      </c>
      <c r="E4" s="657">
        <v>2013</v>
      </c>
      <c r="F4" s="657">
        <v>2014</v>
      </c>
    </row>
    <row r="5" spans="1:8" ht="18" customHeight="1">
      <c r="A5" s="57" t="s">
        <v>278</v>
      </c>
      <c r="B5" s="87" t="s">
        <v>279</v>
      </c>
      <c r="C5" s="57" t="s">
        <v>280</v>
      </c>
      <c r="D5" s="87" t="s">
        <v>281</v>
      </c>
      <c r="E5" s="57" t="s">
        <v>282</v>
      </c>
      <c r="F5" s="57" t="s">
        <v>283</v>
      </c>
    </row>
    <row r="6" spans="1:8" ht="24.95" customHeight="1">
      <c r="A6" s="91" t="s">
        <v>288</v>
      </c>
      <c r="B6" s="48">
        <v>164</v>
      </c>
      <c r="C6" s="49">
        <v>175</v>
      </c>
      <c r="D6" s="48">
        <v>180</v>
      </c>
      <c r="E6" s="49">
        <v>205</v>
      </c>
      <c r="F6" s="49">
        <v>230</v>
      </c>
    </row>
    <row r="7" spans="1:8" ht="24.95" customHeight="1">
      <c r="A7" s="91" t="s">
        <v>289</v>
      </c>
      <c r="B7" s="48">
        <v>162</v>
      </c>
      <c r="C7" s="52">
        <v>174</v>
      </c>
      <c r="D7" s="48">
        <v>181</v>
      </c>
      <c r="E7" s="52">
        <v>205</v>
      </c>
      <c r="F7" s="52">
        <v>233</v>
      </c>
    </row>
    <row r="8" spans="1:8" ht="24.95" customHeight="1">
      <c r="A8" s="91" t="s">
        <v>290</v>
      </c>
      <c r="B8" s="48">
        <v>161</v>
      </c>
      <c r="C8" s="52">
        <v>175</v>
      </c>
      <c r="D8" s="48">
        <v>183</v>
      </c>
      <c r="E8" s="52">
        <v>206</v>
      </c>
      <c r="F8" s="52">
        <v>234</v>
      </c>
    </row>
    <row r="9" spans="1:8" ht="24.95" customHeight="1">
      <c r="A9" s="91" t="s">
        <v>291</v>
      </c>
      <c r="B9" s="48">
        <v>162</v>
      </c>
      <c r="C9" s="52">
        <v>175</v>
      </c>
      <c r="D9" s="48">
        <v>186</v>
      </c>
      <c r="E9" s="52">
        <v>212</v>
      </c>
      <c r="F9" s="52">
        <v>236</v>
      </c>
    </row>
    <row r="10" spans="1:8" ht="24.95" customHeight="1">
      <c r="A10" s="91" t="s">
        <v>292</v>
      </c>
      <c r="B10" s="48">
        <v>164</v>
      </c>
      <c r="C10" s="52">
        <v>176</v>
      </c>
      <c r="D10" s="48">
        <v>189</v>
      </c>
      <c r="E10" s="52">
        <v>212</v>
      </c>
      <c r="F10" s="52">
        <v>238</v>
      </c>
    </row>
    <row r="11" spans="1:8" ht="24.95" customHeight="1">
      <c r="A11" s="91" t="s">
        <v>293</v>
      </c>
      <c r="B11" s="48">
        <v>164</v>
      </c>
      <c r="C11" s="52">
        <v>177</v>
      </c>
      <c r="D11" s="48">
        <v>190</v>
      </c>
      <c r="E11" s="52">
        <v>219</v>
      </c>
      <c r="F11" s="52">
        <v>241</v>
      </c>
    </row>
    <row r="12" spans="1:8" ht="24.95" customHeight="1">
      <c r="A12" s="91" t="s">
        <v>294</v>
      </c>
      <c r="B12" s="48">
        <v>166</v>
      </c>
      <c r="C12" s="52">
        <v>182</v>
      </c>
      <c r="D12" s="48">
        <v>192</v>
      </c>
      <c r="E12" s="52">
        <v>223</v>
      </c>
      <c r="F12" s="52">
        <v>243</v>
      </c>
    </row>
    <row r="13" spans="1:8" ht="24.95" customHeight="1">
      <c r="A13" s="91" t="s">
        <v>295</v>
      </c>
      <c r="B13" s="48">
        <v>166</v>
      </c>
      <c r="C13" s="52">
        <v>182</v>
      </c>
      <c r="D13" s="48">
        <v>193</v>
      </c>
      <c r="E13" s="52">
        <v>230</v>
      </c>
      <c r="F13" s="52">
        <v>244</v>
      </c>
    </row>
    <row r="14" spans="1:8" ht="24.95" customHeight="1">
      <c r="A14" s="91" t="s">
        <v>296</v>
      </c>
      <c r="B14" s="48">
        <v>172</v>
      </c>
      <c r="C14" s="52">
        <v>183</v>
      </c>
      <c r="D14" s="48">
        <v>200</v>
      </c>
      <c r="E14" s="52">
        <v>230</v>
      </c>
      <c r="F14" s="52">
        <v>248</v>
      </c>
    </row>
    <row r="15" spans="1:8" ht="24.95" customHeight="1">
      <c r="A15" s="91" t="s">
        <v>297</v>
      </c>
      <c r="B15" s="48">
        <v>173</v>
      </c>
      <c r="C15" s="52">
        <v>185</v>
      </c>
      <c r="D15" s="48">
        <v>204</v>
      </c>
      <c r="E15" s="52">
        <v>236</v>
      </c>
      <c r="F15" s="52">
        <v>251</v>
      </c>
    </row>
    <row r="16" spans="1:8" ht="24.95" customHeight="1">
      <c r="A16" s="91" t="s">
        <v>298</v>
      </c>
      <c r="B16" s="48">
        <v>175</v>
      </c>
      <c r="C16" s="52">
        <v>183</v>
      </c>
      <c r="D16" s="48">
        <v>205</v>
      </c>
      <c r="E16" s="52">
        <v>238</v>
      </c>
      <c r="F16" s="52">
        <v>249</v>
      </c>
    </row>
    <row r="17" spans="1:9" ht="24.95" customHeight="1">
      <c r="A17" s="91" t="s">
        <v>299</v>
      </c>
      <c r="B17" s="48">
        <v>176</v>
      </c>
      <c r="C17" s="52">
        <v>180</v>
      </c>
      <c r="D17" s="48">
        <v>201</v>
      </c>
      <c r="E17" s="52">
        <v>232</v>
      </c>
      <c r="F17" s="52">
        <v>246</v>
      </c>
    </row>
    <row r="18" spans="1:9" ht="24.95" customHeight="1">
      <c r="A18" s="996" t="s">
        <v>1373</v>
      </c>
      <c r="B18" s="331">
        <f>ROUND(AVERAGE(B6:B17),0)</f>
        <v>167</v>
      </c>
      <c r="C18" s="331">
        <f>ROUND(AVERAGE(C6:C17),0)</f>
        <v>179</v>
      </c>
      <c r="D18" s="331">
        <f>ROUND(AVERAGE(D6:D17),0)</f>
        <v>192</v>
      </c>
      <c r="E18" s="331">
        <f>ROUND(AVERAGE(E6:E17),0)</f>
        <v>221</v>
      </c>
      <c r="F18" s="331">
        <f>ROUND(AVERAGE(F6:F17),0)</f>
        <v>241</v>
      </c>
    </row>
    <row r="19" spans="1:9">
      <c r="B19" s="818"/>
      <c r="C19" s="818"/>
      <c r="D19" s="818"/>
      <c r="E19" s="818"/>
      <c r="F19" s="888" t="s">
        <v>1518</v>
      </c>
    </row>
    <row r="20" spans="1:9" ht="21" customHeight="1">
      <c r="C20" s="8"/>
      <c r="D20" s="54"/>
      <c r="F20" s="54"/>
    </row>
    <row r="21" spans="1:9">
      <c r="A21" s="1393" t="s">
        <v>468</v>
      </c>
      <c r="B21" s="1393"/>
      <c r="C21" s="1393"/>
      <c r="D21" s="1393"/>
      <c r="E21" s="1393"/>
      <c r="F21" s="1393"/>
    </row>
    <row r="22" spans="1:9" ht="18" customHeight="1">
      <c r="A22" s="1287" t="str">
        <f>CONCATENATE("Progress of Statutory and Modified Ration Shops in the district of ",District!$A$1)</f>
        <v>Progress of Statutory and Modified Ration Shops in the district of Jalpaiguri</v>
      </c>
      <c r="B22" s="1287"/>
      <c r="C22" s="1287"/>
      <c r="D22" s="1287"/>
      <c r="E22" s="1287"/>
      <c r="F22" s="1287"/>
      <c r="G22" s="358"/>
    </row>
    <row r="23" spans="1:9" ht="12" customHeight="1">
      <c r="B23" s="4"/>
      <c r="F23" s="1056" t="s">
        <v>312</v>
      </c>
    </row>
    <row r="24" spans="1:9" ht="28.5" customHeight="1">
      <c r="A24" s="1445" t="s">
        <v>128</v>
      </c>
      <c r="B24" s="1446"/>
      <c r="C24" s="1438" t="s">
        <v>1263</v>
      </c>
      <c r="D24" s="1790"/>
      <c r="E24" s="1438" t="s">
        <v>1264</v>
      </c>
      <c r="F24" s="1790"/>
    </row>
    <row r="25" spans="1:9" ht="20.25" customHeight="1">
      <c r="A25" s="1385" t="s">
        <v>278</v>
      </c>
      <c r="B25" s="1386"/>
      <c r="C25" s="1385" t="s">
        <v>279</v>
      </c>
      <c r="D25" s="1386"/>
      <c r="E25" s="1385" t="s">
        <v>280</v>
      </c>
      <c r="F25" s="1386"/>
    </row>
    <row r="26" spans="1:9" ht="28.5" customHeight="1">
      <c r="A26" s="1788" t="s">
        <v>1564</v>
      </c>
      <c r="B26" s="1789"/>
      <c r="C26" s="1680" t="s">
        <v>570</v>
      </c>
      <c r="D26" s="1682"/>
      <c r="E26" s="1680">
        <v>802</v>
      </c>
      <c r="F26" s="1682"/>
    </row>
    <row r="27" spans="1:9" ht="28.5" customHeight="1">
      <c r="A27" s="1786" t="s">
        <v>1565</v>
      </c>
      <c r="B27" s="1787"/>
      <c r="C27" s="1683" t="s">
        <v>570</v>
      </c>
      <c r="D27" s="1685"/>
      <c r="E27" s="1683">
        <v>802</v>
      </c>
      <c r="F27" s="1685"/>
      <c r="I27" s="55"/>
    </row>
    <row r="28" spans="1:9" ht="28.5" customHeight="1">
      <c r="A28" s="1786" t="s">
        <v>1566</v>
      </c>
      <c r="B28" s="1787"/>
      <c r="C28" s="1683" t="s">
        <v>570</v>
      </c>
      <c r="D28" s="1685"/>
      <c r="E28" s="1683">
        <v>801</v>
      </c>
      <c r="F28" s="1685"/>
    </row>
    <row r="29" spans="1:9" ht="28.5" customHeight="1">
      <c r="A29" s="1786" t="s">
        <v>1567</v>
      </c>
      <c r="B29" s="1787"/>
      <c r="C29" s="1683" t="s">
        <v>570</v>
      </c>
      <c r="D29" s="1685"/>
      <c r="E29" s="1684">
        <v>801</v>
      </c>
      <c r="F29" s="1685"/>
    </row>
    <row r="30" spans="1:9" ht="28.5" customHeight="1">
      <c r="A30" s="1784" t="s">
        <v>1568</v>
      </c>
      <c r="B30" s="1785"/>
      <c r="C30" s="1674" t="s">
        <v>570</v>
      </c>
      <c r="D30" s="1676"/>
      <c r="E30" s="1675">
        <v>914</v>
      </c>
      <c r="F30" s="1676"/>
    </row>
    <row r="31" spans="1:9" ht="12.95" customHeight="1">
      <c r="A31" s="1211"/>
      <c r="B31" s="1178"/>
      <c r="C31" s="950" t="s">
        <v>80</v>
      </c>
      <c r="D31" s="878" t="s">
        <v>37</v>
      </c>
    </row>
    <row r="32" spans="1:9" ht="12.95" customHeight="1">
      <c r="C32" s="875" t="s">
        <v>81</v>
      </c>
      <c r="D32" s="878" t="s">
        <v>226</v>
      </c>
    </row>
    <row r="33" spans="3:7" ht="12.95" customHeight="1">
      <c r="C33" s="878"/>
      <c r="D33" s="876" t="s">
        <v>36</v>
      </c>
      <c r="E33" s="70"/>
      <c r="F33" s="70"/>
      <c r="G33" s="70"/>
    </row>
    <row r="34" spans="3:7" ht="12.95" customHeight="1">
      <c r="C34" s="55"/>
    </row>
  </sheetData>
  <mergeCells count="25">
    <mergeCell ref="A1:F1"/>
    <mergeCell ref="A21:F21"/>
    <mergeCell ref="A28:B28"/>
    <mergeCell ref="C28:D28"/>
    <mergeCell ref="E28:F28"/>
    <mergeCell ref="A2:F2"/>
    <mergeCell ref="C24:D24"/>
    <mergeCell ref="E24:F24"/>
    <mergeCell ref="A22:F22"/>
    <mergeCell ref="E25:F25"/>
    <mergeCell ref="A24:B24"/>
    <mergeCell ref="A25:B25"/>
    <mergeCell ref="C25:D25"/>
    <mergeCell ref="C27:D27"/>
    <mergeCell ref="A27:B27"/>
    <mergeCell ref="C26:D26"/>
    <mergeCell ref="A30:B30"/>
    <mergeCell ref="C30:D30"/>
    <mergeCell ref="E30:F30"/>
    <mergeCell ref="E26:F26"/>
    <mergeCell ref="A29:B29"/>
    <mergeCell ref="E29:F29"/>
    <mergeCell ref="E27:F27"/>
    <mergeCell ref="C29:D29"/>
    <mergeCell ref="A26:B26"/>
  </mergeCells>
  <phoneticPr fontId="0" type="noConversion"/>
  <printOptions horizontalCentered="1"/>
  <pageMargins left="0.15" right="0.16" top="1.05" bottom="0.1" header="0.5" footer="0.1"/>
  <pageSetup paperSize="9" orientation="portrait" blackAndWhite="1" r:id="rId1"/>
  <headerFooter alignWithMargins="0"/>
</worksheet>
</file>

<file path=xl/worksheets/sheet64.xml><?xml version="1.0" encoding="utf-8"?>
<worksheet xmlns="http://schemas.openxmlformats.org/spreadsheetml/2006/main" xmlns:r="http://schemas.openxmlformats.org/officeDocument/2006/relationships">
  <sheetPr codeName="Sheet68"/>
  <dimension ref="A1:M49"/>
  <sheetViews>
    <sheetView topLeftCell="A13" workbookViewId="0">
      <selection activeCell="O26" sqref="O26"/>
    </sheetView>
  </sheetViews>
  <sheetFormatPr defaultRowHeight="12.75"/>
  <cols>
    <col min="1" max="1" width="12.7109375" customWidth="1"/>
    <col min="2" max="2" width="9.28515625" customWidth="1"/>
    <col min="3" max="3" width="9" customWidth="1"/>
    <col min="4" max="4" width="8.85546875" customWidth="1"/>
    <col min="5" max="5" width="9.7109375" customWidth="1"/>
    <col min="6" max="6" width="9.28515625" customWidth="1"/>
    <col min="7" max="7" width="8.5703125" customWidth="1"/>
    <col min="8" max="8" width="9.42578125" customWidth="1"/>
    <col min="9" max="9" width="9.5703125" customWidth="1"/>
    <col min="10" max="10" width="9" customWidth="1"/>
    <col min="11" max="11" width="8.85546875" customWidth="1"/>
    <col min="12" max="12" width="9.42578125" customWidth="1"/>
    <col min="13" max="13" width="9" customWidth="1"/>
  </cols>
  <sheetData>
    <row r="1" spans="1:13" ht="14.25" customHeight="1">
      <c r="A1" s="1286" t="s">
        <v>469</v>
      </c>
      <c r="B1" s="1286"/>
      <c r="C1" s="1286"/>
      <c r="D1" s="1286"/>
      <c r="E1" s="1286"/>
      <c r="F1" s="1286"/>
      <c r="G1" s="1286"/>
      <c r="H1" s="1286"/>
      <c r="I1" s="1286"/>
      <c r="J1" s="1286"/>
      <c r="K1" s="1286"/>
      <c r="L1" s="1286"/>
      <c r="M1" s="1286"/>
    </row>
    <row r="2" spans="1:13" ht="18" customHeight="1">
      <c r="A2" s="1311" t="str">
        <f>CONCATENATE("Length of  Roads maintained by P.W.D., Zilla Parishad and Panchayat in the district of ",District!$A$1)</f>
        <v>Length of  Roads maintained by P.W.D., Zilla Parishad and Panchayat in the district of Jalpaiguri</v>
      </c>
      <c r="B2" s="1311"/>
      <c r="C2" s="1311"/>
      <c r="D2" s="1311"/>
      <c r="E2" s="1311"/>
      <c r="F2" s="1311"/>
      <c r="G2" s="1311"/>
      <c r="H2" s="1311"/>
      <c r="I2" s="1311"/>
      <c r="J2" s="1311"/>
      <c r="K2" s="1311"/>
      <c r="L2" s="1311"/>
      <c r="M2" s="1311"/>
    </row>
    <row r="3" spans="1:13" ht="12" customHeight="1">
      <c r="C3" s="392"/>
      <c r="D3" s="392"/>
      <c r="E3" s="392"/>
      <c r="F3" s="392"/>
      <c r="G3" s="392"/>
      <c r="H3" s="392"/>
      <c r="L3" s="1801" t="s">
        <v>1374</v>
      </c>
      <c r="M3" s="1801"/>
    </row>
    <row r="4" spans="1:13" ht="31.5" customHeight="1">
      <c r="A4" s="1293" t="s">
        <v>98</v>
      </c>
      <c r="B4" s="1445" t="s">
        <v>1375</v>
      </c>
      <c r="C4" s="1444"/>
      <c r="D4" s="1446"/>
      <c r="E4" s="1444" t="s">
        <v>1376</v>
      </c>
      <c r="F4" s="1444"/>
      <c r="G4" s="1444"/>
      <c r="H4" s="1578" t="s">
        <v>691</v>
      </c>
      <c r="I4" s="1489"/>
      <c r="J4" s="1490"/>
      <c r="K4" s="1578" t="s">
        <v>1406</v>
      </c>
      <c r="L4" s="1489"/>
      <c r="M4" s="1490"/>
    </row>
    <row r="5" spans="1:13" ht="15.75" customHeight="1">
      <c r="A5" s="1295"/>
      <c r="B5" s="173" t="s">
        <v>240</v>
      </c>
      <c r="C5" s="669" t="s">
        <v>1491</v>
      </c>
      <c r="D5" s="172" t="s">
        <v>300</v>
      </c>
      <c r="E5" s="171" t="s">
        <v>240</v>
      </c>
      <c r="F5" s="669" t="s">
        <v>1491</v>
      </c>
      <c r="G5" s="171" t="s">
        <v>300</v>
      </c>
      <c r="H5" s="173" t="s">
        <v>240</v>
      </c>
      <c r="I5" s="669" t="s">
        <v>1491</v>
      </c>
      <c r="J5" s="172" t="s">
        <v>300</v>
      </c>
      <c r="K5" s="171" t="s">
        <v>240</v>
      </c>
      <c r="L5" s="669" t="s">
        <v>1491</v>
      </c>
      <c r="M5" s="172" t="s">
        <v>300</v>
      </c>
    </row>
    <row r="6" spans="1:13" ht="14.25" customHeight="1">
      <c r="A6" s="153" t="s">
        <v>278</v>
      </c>
      <c r="B6" s="92" t="s">
        <v>279</v>
      </c>
      <c r="C6" s="57" t="s">
        <v>280</v>
      </c>
      <c r="D6" s="58" t="s">
        <v>281</v>
      </c>
      <c r="E6" s="87" t="s">
        <v>282</v>
      </c>
      <c r="F6" s="57" t="s">
        <v>283</v>
      </c>
      <c r="G6" s="87" t="s">
        <v>284</v>
      </c>
      <c r="H6" s="92" t="s">
        <v>301</v>
      </c>
      <c r="I6" s="57" t="s">
        <v>302</v>
      </c>
      <c r="J6" s="58" t="s">
        <v>303</v>
      </c>
      <c r="K6" s="87" t="s">
        <v>304</v>
      </c>
      <c r="L6" s="59" t="s">
        <v>344</v>
      </c>
      <c r="M6" s="58" t="s">
        <v>345</v>
      </c>
    </row>
    <row r="7" spans="1:13" ht="24" customHeight="1">
      <c r="A7" s="614" t="s">
        <v>1110</v>
      </c>
      <c r="B7" s="689">
        <v>1270</v>
      </c>
      <c r="C7" s="594">
        <v>8</v>
      </c>
      <c r="D7" s="724">
        <f>SUM(B7,C7)</f>
        <v>1278</v>
      </c>
      <c r="E7" s="561">
        <v>1260.3800000000001</v>
      </c>
      <c r="F7" s="52">
        <v>897.93</v>
      </c>
      <c r="G7" s="724">
        <f>SUM(E7,F7)</f>
        <v>2158.31</v>
      </c>
      <c r="H7" s="52">
        <v>1220.8599999999999</v>
      </c>
      <c r="I7" s="31">
        <v>3049.51</v>
      </c>
      <c r="J7" s="724">
        <f>SUM(H7,I7)</f>
        <v>4270.37</v>
      </c>
      <c r="K7" s="269">
        <v>641.86</v>
      </c>
      <c r="L7" s="294" t="s">
        <v>570</v>
      </c>
      <c r="M7" s="751">
        <f>SUM(K7:L7)</f>
        <v>641.86</v>
      </c>
    </row>
    <row r="8" spans="1:13" ht="24" customHeight="1">
      <c r="A8" s="614" t="s">
        <v>1111</v>
      </c>
      <c r="B8" s="689">
        <v>1270</v>
      </c>
      <c r="C8" s="594">
        <v>8</v>
      </c>
      <c r="D8" s="295">
        <f>SUM(B8,C8)</f>
        <v>1278</v>
      </c>
      <c r="E8" s="561">
        <v>1260.3800000000001</v>
      </c>
      <c r="F8" s="52">
        <v>897.93</v>
      </c>
      <c r="G8" s="295">
        <f>SUM(E8,F8)</f>
        <v>2158.31</v>
      </c>
      <c r="H8" s="52">
        <v>1220.8599999999999</v>
      </c>
      <c r="I8" s="31">
        <v>3013.75</v>
      </c>
      <c r="J8" s="295">
        <f>SUM(H8,I8)</f>
        <v>4234.6099999999997</v>
      </c>
      <c r="K8" s="269">
        <v>672.46699999999998</v>
      </c>
      <c r="L8" s="702" t="s">
        <v>570</v>
      </c>
      <c r="M8" s="438">
        <f>SUM(K8:L8)</f>
        <v>672.46699999999998</v>
      </c>
    </row>
    <row r="9" spans="1:13" ht="24" customHeight="1">
      <c r="A9" s="614" t="s">
        <v>641</v>
      </c>
      <c r="B9" s="689">
        <v>1270</v>
      </c>
      <c r="C9" s="594" t="s">
        <v>570</v>
      </c>
      <c r="D9" s="295" t="s">
        <v>174</v>
      </c>
      <c r="E9" s="561">
        <v>1404.56</v>
      </c>
      <c r="F9" s="52">
        <v>753.84</v>
      </c>
      <c r="G9" s="295">
        <f>SUM(E9,F9)</f>
        <v>2158.4</v>
      </c>
      <c r="H9" s="52">
        <v>1220.8599999999999</v>
      </c>
      <c r="I9" s="31">
        <v>3044.22</v>
      </c>
      <c r="J9" s="295">
        <f>SUM(H9,I9)</f>
        <v>4265.08</v>
      </c>
      <c r="K9" s="269">
        <v>690.38</v>
      </c>
      <c r="L9" s="702" t="s">
        <v>570</v>
      </c>
      <c r="M9" s="438">
        <f>SUM(K9:L9)</f>
        <v>690.38</v>
      </c>
    </row>
    <row r="10" spans="1:13" ht="24" customHeight="1">
      <c r="A10" s="614" t="s">
        <v>909</v>
      </c>
      <c r="B10" s="689" t="s">
        <v>117</v>
      </c>
      <c r="C10" s="594" t="s">
        <v>117</v>
      </c>
      <c r="D10" s="295" t="s">
        <v>117</v>
      </c>
      <c r="E10" s="561">
        <v>1404.56</v>
      </c>
      <c r="F10" s="52">
        <v>753.84</v>
      </c>
      <c r="G10" s="295">
        <f>SUM(E10,F10)</f>
        <v>2158.4</v>
      </c>
      <c r="H10" s="295">
        <v>1261.98</v>
      </c>
      <c r="I10" s="31">
        <v>2981.62</v>
      </c>
      <c r="J10" s="295">
        <f>SUM(H10,I10)</f>
        <v>4243.6000000000004</v>
      </c>
      <c r="K10" s="269">
        <v>711.86</v>
      </c>
      <c r="L10" s="294" t="s">
        <v>570</v>
      </c>
      <c r="M10" s="438">
        <f>SUM(K10:L10)</f>
        <v>711.86</v>
      </c>
    </row>
    <row r="11" spans="1:13" ht="24" customHeight="1">
      <c r="A11" s="586" t="s">
        <v>895</v>
      </c>
      <c r="B11" s="690">
        <v>513.74</v>
      </c>
      <c r="C11" s="731" t="s">
        <v>117</v>
      </c>
      <c r="D11" s="680">
        <f>SUM(B11,C11)</f>
        <v>513.74</v>
      </c>
      <c r="E11" s="560">
        <v>1471.87</v>
      </c>
      <c r="F11" s="155">
        <v>686.53</v>
      </c>
      <c r="G11" s="680">
        <f>SUM(E11,F11)</f>
        <v>2158.3999999999996</v>
      </c>
      <c r="H11" s="680">
        <v>1331.93</v>
      </c>
      <c r="I11" s="1225">
        <v>2803.8</v>
      </c>
      <c r="J11" s="680">
        <f>SUM(H11,I11)</f>
        <v>4135.7300000000005</v>
      </c>
      <c r="K11" s="272">
        <v>819.73</v>
      </c>
      <c r="L11" s="341" t="s">
        <v>570</v>
      </c>
      <c r="M11" s="439">
        <f>SUM(K11:L11)</f>
        <v>819.73</v>
      </c>
    </row>
    <row r="12" spans="1:13" ht="14.25" customHeight="1">
      <c r="A12" s="1791" t="s">
        <v>658</v>
      </c>
      <c r="B12" s="1792"/>
      <c r="C12" s="1792"/>
      <c r="D12" s="1792"/>
      <c r="E12" s="361"/>
      <c r="F12" s="359"/>
      <c r="I12" s="858" t="s">
        <v>80</v>
      </c>
      <c r="J12" s="941" t="s">
        <v>864</v>
      </c>
    </row>
    <row r="13" spans="1:13">
      <c r="A13" s="1718"/>
      <c r="B13" s="1718"/>
      <c r="C13" s="1718"/>
      <c r="D13" s="1718"/>
      <c r="E13" s="515"/>
      <c r="I13" s="858" t="s">
        <v>81</v>
      </c>
      <c r="J13" s="941" t="s">
        <v>170</v>
      </c>
    </row>
    <row r="14" spans="1:13">
      <c r="A14" s="1718"/>
      <c r="B14" s="1718"/>
      <c r="C14" s="1718"/>
      <c r="D14" s="1718"/>
      <c r="E14" s="359"/>
      <c r="F14" s="515"/>
      <c r="I14" s="858" t="s">
        <v>82</v>
      </c>
      <c r="J14" s="941" t="s">
        <v>172</v>
      </c>
    </row>
    <row r="15" spans="1:13">
      <c r="B15" s="359"/>
      <c r="C15" s="359"/>
      <c r="D15" s="359"/>
      <c r="E15" s="359"/>
      <c r="F15" s="515"/>
      <c r="I15" s="858" t="s">
        <v>83</v>
      </c>
      <c r="J15" s="941" t="s">
        <v>173</v>
      </c>
    </row>
    <row r="16" spans="1:13">
      <c r="A16" s="359"/>
      <c r="B16" s="359"/>
      <c r="C16" s="359"/>
      <c r="D16" s="359"/>
      <c r="E16" s="359"/>
      <c r="F16" s="515"/>
      <c r="G16" s="360"/>
      <c r="H16" s="515"/>
      <c r="I16" s="886" t="s">
        <v>1114</v>
      </c>
      <c r="J16" s="942" t="s">
        <v>171</v>
      </c>
    </row>
    <row r="17" spans="1:12" ht="15.75" customHeight="1">
      <c r="A17" s="1361" t="s">
        <v>470</v>
      </c>
      <c r="B17" s="1361"/>
      <c r="C17" s="1361"/>
      <c r="D17" s="1361"/>
      <c r="E17" s="1361"/>
      <c r="F17" s="1361"/>
      <c r="G17" s="1361"/>
      <c r="H17" s="1361"/>
      <c r="I17" s="1361"/>
      <c r="J17" s="1361"/>
      <c r="K17" s="1361"/>
      <c r="L17" s="1361"/>
    </row>
    <row r="18" spans="1:12" ht="17.25" customHeight="1">
      <c r="A18" s="1287" t="str">
        <f>CONCATENATE("Length of different classes of Roads maintained by P.W.D. in the district of ",District!$A$1)</f>
        <v>Length of different classes of Roads maintained by P.W.D. in the district of Jalpaiguri</v>
      </c>
      <c r="B18" s="1287"/>
      <c r="C18" s="1287"/>
      <c r="D18" s="1287"/>
      <c r="E18" s="1287"/>
      <c r="F18" s="1287"/>
      <c r="G18" s="1287"/>
      <c r="H18" s="1287"/>
      <c r="I18" s="1287"/>
      <c r="J18" s="1287"/>
      <c r="K18" s="1287"/>
      <c r="L18" s="1287"/>
    </row>
    <row r="19" spans="1:12" ht="12" customHeight="1">
      <c r="A19" s="359"/>
      <c r="B19" s="359"/>
      <c r="C19" s="359"/>
      <c r="D19" s="359"/>
      <c r="E19" s="359"/>
      <c r="F19" s="359"/>
      <c r="G19" s="359"/>
      <c r="H19" s="359"/>
      <c r="I19" s="359"/>
      <c r="L19" s="1043" t="s">
        <v>1374</v>
      </c>
    </row>
    <row r="20" spans="1:12" ht="20.25" customHeight="1">
      <c r="A20" s="1800" t="s">
        <v>98</v>
      </c>
      <c r="B20" s="1283"/>
      <c r="C20" s="1800" t="s">
        <v>1378</v>
      </c>
      <c r="D20" s="1790"/>
      <c r="E20" s="1283" t="s">
        <v>1379</v>
      </c>
      <c r="F20" s="1283"/>
      <c r="G20" s="1800" t="s">
        <v>1380</v>
      </c>
      <c r="H20" s="1790"/>
      <c r="I20" s="1283" t="s">
        <v>1385</v>
      </c>
      <c r="J20" s="1283"/>
      <c r="K20" s="1800" t="s">
        <v>300</v>
      </c>
      <c r="L20" s="1790"/>
    </row>
    <row r="21" spans="1:12" ht="17.25" customHeight="1">
      <c r="A21" s="1385" t="s">
        <v>278</v>
      </c>
      <c r="B21" s="1424"/>
      <c r="C21" s="1385" t="s">
        <v>279</v>
      </c>
      <c r="D21" s="1386"/>
      <c r="E21" s="1424" t="s">
        <v>280</v>
      </c>
      <c r="F21" s="1424"/>
      <c r="G21" s="1385" t="s">
        <v>281</v>
      </c>
      <c r="H21" s="1386"/>
      <c r="I21" s="1424" t="s">
        <v>282</v>
      </c>
      <c r="J21" s="1424"/>
      <c r="K21" s="1385" t="s">
        <v>283</v>
      </c>
      <c r="L21" s="1386"/>
    </row>
    <row r="22" spans="1:12" ht="24" customHeight="1">
      <c r="A22" s="1804" t="s">
        <v>1110</v>
      </c>
      <c r="B22" s="1805"/>
      <c r="C22" s="1793" t="s">
        <v>117</v>
      </c>
      <c r="D22" s="1794"/>
      <c r="E22" s="1793" t="s">
        <v>117</v>
      </c>
      <c r="F22" s="1794"/>
      <c r="G22" s="1793" t="s">
        <v>117</v>
      </c>
      <c r="H22" s="1794"/>
      <c r="I22" s="1793" t="s">
        <v>117</v>
      </c>
      <c r="J22" s="1794"/>
      <c r="K22" s="1793">
        <v>1278</v>
      </c>
      <c r="L22" s="1794"/>
    </row>
    <row r="23" spans="1:12" ht="24" customHeight="1">
      <c r="A23" s="1764" t="s">
        <v>1111</v>
      </c>
      <c r="B23" s="1638"/>
      <c r="C23" s="1798" t="s">
        <v>117</v>
      </c>
      <c r="D23" s="1799"/>
      <c r="E23" s="1798" t="s">
        <v>117</v>
      </c>
      <c r="F23" s="1799"/>
      <c r="G23" s="1798" t="s">
        <v>117</v>
      </c>
      <c r="H23" s="1799"/>
      <c r="I23" s="1798" t="s">
        <v>117</v>
      </c>
      <c r="J23" s="1799"/>
      <c r="K23" s="1798">
        <v>1278</v>
      </c>
      <c r="L23" s="1799"/>
    </row>
    <row r="24" spans="1:12" ht="24" customHeight="1">
      <c r="A24" s="1764" t="s">
        <v>641</v>
      </c>
      <c r="B24" s="1638"/>
      <c r="C24" s="1798" t="s">
        <v>117</v>
      </c>
      <c r="D24" s="1799"/>
      <c r="E24" s="1798" t="s">
        <v>117</v>
      </c>
      <c r="F24" s="1799"/>
      <c r="G24" s="1798" t="s">
        <v>117</v>
      </c>
      <c r="H24" s="1799"/>
      <c r="I24" s="1798" t="s">
        <v>117</v>
      </c>
      <c r="J24" s="1799"/>
      <c r="K24" s="1798">
        <v>1270</v>
      </c>
      <c r="L24" s="1799"/>
    </row>
    <row r="25" spans="1:12" ht="24" customHeight="1">
      <c r="A25" s="1764" t="s">
        <v>909</v>
      </c>
      <c r="B25" s="1638"/>
      <c r="C25" s="1795" t="s">
        <v>117</v>
      </c>
      <c r="D25" s="1796"/>
      <c r="E25" s="1797" t="s">
        <v>117</v>
      </c>
      <c r="F25" s="1797"/>
      <c r="G25" s="1795" t="s">
        <v>117</v>
      </c>
      <c r="H25" s="1796"/>
      <c r="I25" s="1797" t="s">
        <v>117</v>
      </c>
      <c r="J25" s="1797"/>
      <c r="K25" s="1802" t="s">
        <v>117</v>
      </c>
      <c r="L25" s="1803"/>
    </row>
    <row r="26" spans="1:12" ht="24" customHeight="1">
      <c r="A26" s="1771" t="s">
        <v>895</v>
      </c>
      <c r="B26" s="1772"/>
      <c r="C26" s="1807" t="s">
        <v>117</v>
      </c>
      <c r="D26" s="1808"/>
      <c r="E26" s="1807" t="s">
        <v>117</v>
      </c>
      <c r="F26" s="1808"/>
      <c r="G26" s="1807" t="s">
        <v>117</v>
      </c>
      <c r="H26" s="1808"/>
      <c r="I26" s="1807" t="s">
        <v>117</v>
      </c>
      <c r="J26" s="1808"/>
      <c r="K26" s="1809" t="s">
        <v>117</v>
      </c>
      <c r="L26" s="1810"/>
    </row>
    <row r="27" spans="1:12">
      <c r="A27" s="359"/>
      <c r="B27" s="359"/>
      <c r="C27" s="359"/>
      <c r="D27" s="359"/>
      <c r="E27" s="359"/>
      <c r="F27" s="359"/>
      <c r="G27" s="1806" t="s">
        <v>1630</v>
      </c>
      <c r="H27" s="1806"/>
      <c r="I27" s="1806"/>
      <c r="J27" s="1806"/>
      <c r="K27" s="1806"/>
      <c r="L27" s="1806"/>
    </row>
    <row r="28" spans="1:12">
      <c r="A28" s="359"/>
      <c r="B28" s="359"/>
      <c r="C28" s="359"/>
      <c r="D28" s="359"/>
      <c r="E28" s="359"/>
      <c r="F28" s="359"/>
      <c r="G28" s="359"/>
      <c r="H28" s="359"/>
      <c r="I28" s="359"/>
      <c r="J28" s="359"/>
    </row>
    <row r="45" spans="1:11">
      <c r="A45" s="359"/>
      <c r="B45" s="359"/>
      <c r="C45" s="359"/>
      <c r="D45" s="359"/>
      <c r="E45" s="359"/>
      <c r="F45" s="359"/>
      <c r="G45" s="359"/>
      <c r="H45" s="408"/>
      <c r="J45" s="359"/>
    </row>
    <row r="46" spans="1:11">
      <c r="K46" s="181"/>
    </row>
    <row r="49" spans="1:10">
      <c r="A49" s="359"/>
      <c r="B49" s="359"/>
      <c r="C49" s="359"/>
      <c r="D49" s="359"/>
      <c r="E49" s="359"/>
      <c r="F49" s="359"/>
      <c r="G49" s="359"/>
      <c r="H49" s="359"/>
      <c r="I49" s="359"/>
      <c r="J49" s="359"/>
    </row>
  </sheetData>
  <mergeCells count="54">
    <mergeCell ref="G27:L27"/>
    <mergeCell ref="I26:J26"/>
    <mergeCell ref="K26:L26"/>
    <mergeCell ref="A26:B26"/>
    <mergeCell ref="C26:D26"/>
    <mergeCell ref="E26:F26"/>
    <mergeCell ref="G26:H26"/>
    <mergeCell ref="K25:L25"/>
    <mergeCell ref="A20:B20"/>
    <mergeCell ref="A21:B21"/>
    <mergeCell ref="A22:B22"/>
    <mergeCell ref="A23:B23"/>
    <mergeCell ref="A24:B24"/>
    <mergeCell ref="A25:B25"/>
    <mergeCell ref="K23:L23"/>
    <mergeCell ref="K24:L24"/>
    <mergeCell ref="K22:L22"/>
    <mergeCell ref="G24:H24"/>
    <mergeCell ref="I24:J24"/>
    <mergeCell ref="G23:H23"/>
    <mergeCell ref="G25:H25"/>
    <mergeCell ref="I25:J25"/>
    <mergeCell ref="I23:J23"/>
    <mergeCell ref="A1:M1"/>
    <mergeCell ref="K4:M4"/>
    <mergeCell ref="K20:L20"/>
    <mergeCell ref="K21:L21"/>
    <mergeCell ref="A17:L17"/>
    <mergeCell ref="A18:L18"/>
    <mergeCell ref="A4:A5"/>
    <mergeCell ref="C21:D21"/>
    <mergeCell ref="I20:J20"/>
    <mergeCell ref="G20:H20"/>
    <mergeCell ref="E20:F20"/>
    <mergeCell ref="C20:D20"/>
    <mergeCell ref="A2:M2"/>
    <mergeCell ref="L3:M3"/>
    <mergeCell ref="H4:J4"/>
    <mergeCell ref="B4:D4"/>
    <mergeCell ref="C25:D25"/>
    <mergeCell ref="E25:F25"/>
    <mergeCell ref="C24:D24"/>
    <mergeCell ref="C23:D23"/>
    <mergeCell ref="E24:F24"/>
    <mergeCell ref="E23:F23"/>
    <mergeCell ref="E4:G4"/>
    <mergeCell ref="A12:D14"/>
    <mergeCell ref="C22:D22"/>
    <mergeCell ref="I21:J21"/>
    <mergeCell ref="E21:F21"/>
    <mergeCell ref="G21:H21"/>
    <mergeCell ref="I22:J22"/>
    <mergeCell ref="E22:F22"/>
    <mergeCell ref="G22:H22"/>
  </mergeCells>
  <phoneticPr fontId="0" type="noConversion"/>
  <conditionalFormatting sqref="A1:A1048576 B25:B65536 B1:B21 C1:C1048576 D25:D65536 D1:D21 E1:E1048576 F25:F65536 F1:F21 I28:I1048576 G28:G1048576 H1:H21 J28:J65536 K28:K1048576 J1:J21 H28:H65536 M1:IV1048576 L1:L21 G1:G26 H25:H26 K1:K26 J25:J26 I1:I26 L25:L26 L28:L65536">
    <cfRule type="cellIs" dxfId="2" priority="1" stopIfTrue="1" operator="equal">
      <formula>".."</formula>
    </cfRule>
  </conditionalFormatting>
  <printOptions horizontalCentered="1"/>
  <pageMargins left="0.1" right="0.1" top="0.37" bottom="0.1" header="0.31" footer="0.1"/>
  <pageSetup paperSize="9" scale="99" orientation="landscape" blackAndWhite="1" r:id="rId1"/>
  <headerFooter alignWithMargins="0"/>
</worksheet>
</file>

<file path=xl/worksheets/sheet65.xml><?xml version="1.0" encoding="utf-8"?>
<worksheet xmlns="http://schemas.openxmlformats.org/spreadsheetml/2006/main" xmlns:r="http://schemas.openxmlformats.org/officeDocument/2006/relationships">
  <sheetPr codeName="Sheet69"/>
  <dimension ref="A1:L74"/>
  <sheetViews>
    <sheetView topLeftCell="A7" workbookViewId="0">
      <selection activeCell="I30" sqref="I30"/>
    </sheetView>
  </sheetViews>
  <sheetFormatPr defaultRowHeight="12.75"/>
  <cols>
    <col min="1" max="1" width="12.85546875" customWidth="1"/>
    <col min="2" max="11" width="10.7109375" customWidth="1"/>
  </cols>
  <sheetData>
    <row r="1" spans="1:11">
      <c r="A1" s="1361" t="s">
        <v>471</v>
      </c>
      <c r="B1" s="1361"/>
      <c r="C1" s="1361"/>
      <c r="D1" s="1361"/>
      <c r="E1" s="1361"/>
      <c r="F1" s="1361"/>
      <c r="G1" s="1361"/>
      <c r="H1" s="1361"/>
      <c r="I1" s="1361"/>
      <c r="J1" s="1361"/>
      <c r="K1" s="1361"/>
    </row>
    <row r="2" spans="1:11" ht="19.5" customHeight="1">
      <c r="A2" s="1311" t="str">
        <f>CONCATENATE("Length of Roads maintained by Municipalities in the district of ",District!$A$1)</f>
        <v>Length of Roads maintained by Municipalities in the district of Jalpaiguri</v>
      </c>
      <c r="B2" s="1311"/>
      <c r="C2" s="1311"/>
      <c r="D2" s="1311"/>
      <c r="E2" s="1311"/>
      <c r="F2" s="1311"/>
      <c r="G2" s="1311"/>
      <c r="H2" s="1311"/>
      <c r="I2" s="1311"/>
      <c r="J2" s="1311"/>
      <c r="K2" s="1311"/>
    </row>
    <row r="3" spans="1:11" ht="12" customHeight="1">
      <c r="A3" s="359"/>
      <c r="B3" s="359"/>
      <c r="C3" s="359"/>
      <c r="D3" s="359"/>
      <c r="E3" s="359"/>
      <c r="F3" s="359"/>
      <c r="G3" s="359"/>
      <c r="H3" s="359"/>
      <c r="I3" s="1659" t="s">
        <v>1374</v>
      </c>
      <c r="J3" s="1659"/>
      <c r="K3" s="1659"/>
    </row>
    <row r="4" spans="1:11" ht="15.75" customHeight="1">
      <c r="A4" s="1293" t="s">
        <v>98</v>
      </c>
      <c r="B4" s="1502"/>
      <c r="C4" s="1293" t="s">
        <v>240</v>
      </c>
      <c r="D4" s="1502"/>
      <c r="E4" s="1294"/>
      <c r="F4" s="1293" t="s">
        <v>1491</v>
      </c>
      <c r="G4" s="1502"/>
      <c r="H4" s="1294"/>
      <c r="I4" s="1293" t="s">
        <v>300</v>
      </c>
      <c r="J4" s="1502"/>
      <c r="K4" s="1294"/>
    </row>
    <row r="5" spans="1:11" ht="12.75" customHeight="1">
      <c r="A5" s="1385" t="s">
        <v>278</v>
      </c>
      <c r="B5" s="1424"/>
      <c r="C5" s="1385" t="s">
        <v>279</v>
      </c>
      <c r="D5" s="1424"/>
      <c r="E5" s="1386"/>
      <c r="F5" s="1385" t="s">
        <v>280</v>
      </c>
      <c r="G5" s="1424"/>
      <c r="H5" s="1386"/>
      <c r="I5" s="1385" t="s">
        <v>281</v>
      </c>
      <c r="J5" s="1424"/>
      <c r="K5" s="1386"/>
    </row>
    <row r="6" spans="1:11" ht="20.100000000000001" customHeight="1">
      <c r="A6" s="1611" t="s">
        <v>1110</v>
      </c>
      <c r="B6" s="1612"/>
      <c r="C6" s="1811">
        <v>348.86</v>
      </c>
      <c r="D6" s="1812"/>
      <c r="E6" s="1813"/>
      <c r="F6" s="1811">
        <v>114.71</v>
      </c>
      <c r="G6" s="1812"/>
      <c r="H6" s="1813"/>
      <c r="I6" s="1811">
        <f>SUM(C6:F6)</f>
        <v>463.57</v>
      </c>
      <c r="J6" s="1812"/>
      <c r="K6" s="1813"/>
    </row>
    <row r="7" spans="1:11" ht="20.100000000000001" customHeight="1">
      <c r="A7" s="1609" t="s">
        <v>1111</v>
      </c>
      <c r="B7" s="1610"/>
      <c r="C7" s="1370">
        <v>361.61</v>
      </c>
      <c r="D7" s="1639"/>
      <c r="E7" s="1371"/>
      <c r="F7" s="1370">
        <v>101.96</v>
      </c>
      <c r="G7" s="1639"/>
      <c r="H7" s="1371"/>
      <c r="I7" s="1370">
        <f>SUM(C7:F7)</f>
        <v>463.57</v>
      </c>
      <c r="J7" s="1639"/>
      <c r="K7" s="1371"/>
    </row>
    <row r="8" spans="1:11" ht="20.100000000000001" customHeight="1">
      <c r="A8" s="1609" t="s">
        <v>641</v>
      </c>
      <c r="B8" s="1610"/>
      <c r="C8" s="1370">
        <v>365.36</v>
      </c>
      <c r="D8" s="1639"/>
      <c r="E8" s="1371"/>
      <c r="F8" s="1370">
        <v>101.61</v>
      </c>
      <c r="G8" s="1639"/>
      <c r="H8" s="1371"/>
      <c r="I8" s="1370">
        <f>SUM(C8:F8)</f>
        <v>466.97</v>
      </c>
      <c r="J8" s="1639"/>
      <c r="K8" s="1371"/>
    </row>
    <row r="9" spans="1:11" ht="20.100000000000001" customHeight="1">
      <c r="A9" s="1609" t="s">
        <v>909</v>
      </c>
      <c r="B9" s="1610"/>
      <c r="C9" s="1370">
        <v>382.91</v>
      </c>
      <c r="D9" s="1639"/>
      <c r="E9" s="1371"/>
      <c r="F9" s="1370">
        <v>94.47</v>
      </c>
      <c r="G9" s="1639"/>
      <c r="H9" s="1371"/>
      <c r="I9" s="1370">
        <f>SUM(C9:F9)</f>
        <v>477.38</v>
      </c>
      <c r="J9" s="1639"/>
      <c r="K9" s="1371"/>
    </row>
    <row r="10" spans="1:11" ht="20.100000000000001" customHeight="1">
      <c r="A10" s="1616" t="s">
        <v>895</v>
      </c>
      <c r="B10" s="1617"/>
      <c r="C10" s="1620">
        <f>SUM(C12:C15)</f>
        <v>391.43</v>
      </c>
      <c r="D10" s="1825"/>
      <c r="E10" s="1621"/>
      <c r="F10" s="1620">
        <f>SUM(F12:F15)</f>
        <v>85.95</v>
      </c>
      <c r="G10" s="1825"/>
      <c r="H10" s="1825"/>
      <c r="I10" s="1620">
        <f>SUM(C10:F10)</f>
        <v>477.38</v>
      </c>
      <c r="J10" s="1825"/>
      <c r="K10" s="1621"/>
    </row>
    <row r="11" spans="1:11" ht="20.100000000000001" customHeight="1">
      <c r="A11" s="1445" t="s">
        <v>1090</v>
      </c>
      <c r="B11" s="1446"/>
      <c r="C11" s="1305" t="str">
        <f>"Year : " &amp;A10</f>
        <v>Year : 2013-14</v>
      </c>
      <c r="D11" s="1515"/>
      <c r="E11" s="1515"/>
      <c r="F11" s="1515"/>
      <c r="G11" s="1515"/>
      <c r="H11" s="1515"/>
      <c r="I11" s="1581"/>
      <c r="J11" s="1581"/>
      <c r="K11" s="1598"/>
    </row>
    <row r="12" spans="1:11" ht="20.100000000000001" customHeight="1">
      <c r="A12" s="1818" t="s">
        <v>548</v>
      </c>
      <c r="B12" s="1819"/>
      <c r="C12" s="1826">
        <v>150</v>
      </c>
      <c r="D12" s="1827"/>
      <c r="E12" s="1828"/>
      <c r="F12" s="1829">
        <v>29.27</v>
      </c>
      <c r="G12" s="1829"/>
      <c r="H12" s="1608"/>
      <c r="I12" s="1607">
        <f>SUM(C12,F12)</f>
        <v>179.27</v>
      </c>
      <c r="J12" s="1829"/>
      <c r="K12" s="1608"/>
    </row>
    <row r="13" spans="1:11" ht="20.100000000000001" customHeight="1">
      <c r="A13" s="1818" t="s">
        <v>732</v>
      </c>
      <c r="B13" s="1819"/>
      <c r="C13" s="1815">
        <v>78.16</v>
      </c>
      <c r="D13" s="1816"/>
      <c r="E13" s="1817"/>
      <c r="F13" s="1816">
        <v>25.01</v>
      </c>
      <c r="G13" s="1816"/>
      <c r="H13" s="1817"/>
      <c r="I13" s="1603">
        <f>SUM(C13,F13)</f>
        <v>103.17</v>
      </c>
      <c r="J13" s="1830"/>
      <c r="K13" s="1604"/>
    </row>
    <row r="14" spans="1:11" ht="20.100000000000001" customHeight="1">
      <c r="A14" s="1818" t="s">
        <v>730</v>
      </c>
      <c r="B14" s="1819"/>
      <c r="C14" s="1815">
        <v>58.27</v>
      </c>
      <c r="D14" s="1816"/>
      <c r="E14" s="1817"/>
      <c r="F14" s="1816">
        <v>8.67</v>
      </c>
      <c r="G14" s="1816"/>
      <c r="H14" s="1817"/>
      <c r="I14" s="1603">
        <f>SUM(C14,F14)</f>
        <v>66.94</v>
      </c>
      <c r="J14" s="1830"/>
      <c r="K14" s="1604"/>
    </row>
    <row r="15" spans="1:11" ht="20.100000000000001" customHeight="1">
      <c r="A15" s="1820" t="s">
        <v>731</v>
      </c>
      <c r="B15" s="1821"/>
      <c r="C15" s="1822">
        <v>105</v>
      </c>
      <c r="D15" s="1823"/>
      <c r="E15" s="1824"/>
      <c r="F15" s="1823">
        <v>23</v>
      </c>
      <c r="G15" s="1823"/>
      <c r="H15" s="1824"/>
      <c r="I15" s="1618">
        <f>SUM(C15,F15)</f>
        <v>128</v>
      </c>
      <c r="J15" s="1831"/>
      <c r="K15" s="1619"/>
    </row>
    <row r="16" spans="1:11">
      <c r="A16" s="359"/>
      <c r="B16" s="359"/>
      <c r="C16" s="359"/>
      <c r="D16" s="359"/>
      <c r="E16" s="359"/>
      <c r="F16" s="359"/>
      <c r="G16" s="359"/>
      <c r="H16" s="359"/>
      <c r="I16" s="359"/>
      <c r="K16" s="943" t="s">
        <v>733</v>
      </c>
    </row>
    <row r="17" spans="1:12">
      <c r="A17" s="359"/>
      <c r="B17" s="359"/>
      <c r="C17" s="359"/>
      <c r="D17" s="359"/>
      <c r="E17" s="359"/>
      <c r="F17" s="359"/>
      <c r="G17" s="359"/>
      <c r="H17" s="359"/>
      <c r="I17" s="359"/>
      <c r="J17" s="383"/>
    </row>
    <row r="18" spans="1:12" ht="18" customHeight="1">
      <c r="A18" s="359"/>
      <c r="B18" s="359"/>
    </row>
    <row r="19" spans="1:12" ht="13.5" customHeight="1">
      <c r="A19" s="1286" t="s">
        <v>472</v>
      </c>
      <c r="B19" s="1286"/>
      <c r="C19" s="1286"/>
      <c r="D19" s="1286"/>
      <c r="E19" s="1286"/>
      <c r="F19" s="1286"/>
      <c r="G19" s="1286"/>
      <c r="H19" s="1286"/>
      <c r="I19" s="1286"/>
      <c r="J19" s="1286"/>
      <c r="K19" s="1286"/>
    </row>
    <row r="20" spans="1:12" ht="18" customHeight="1">
      <c r="A20" s="1354" t="str">
        <f>CONCATENATE("Registered Motor Vehicles  in the district of ",District!$A$1)</f>
        <v>Registered Motor Vehicles  in the district of Jalpaiguri</v>
      </c>
      <c r="B20" s="1354"/>
      <c r="C20" s="1354"/>
      <c r="D20" s="1354"/>
      <c r="E20" s="1354"/>
      <c r="F20" s="1354"/>
      <c r="G20" s="1354"/>
      <c r="H20" s="1354"/>
      <c r="I20" s="1354"/>
      <c r="J20" s="1354"/>
      <c r="K20" s="1354"/>
    </row>
    <row r="21" spans="1:12" ht="12" customHeight="1">
      <c r="A21" s="1049"/>
      <c r="B21" s="1049"/>
      <c r="C21" s="1049"/>
      <c r="D21" s="1049"/>
      <c r="E21" s="1049"/>
      <c r="F21" s="1049"/>
      <c r="G21" s="1049"/>
      <c r="H21" s="1049"/>
      <c r="I21" s="1049"/>
      <c r="J21" s="1049"/>
      <c r="K21" s="691" t="s">
        <v>312</v>
      </c>
    </row>
    <row r="22" spans="1:12" ht="12.75" customHeight="1">
      <c r="A22" s="1299" t="s">
        <v>1386</v>
      </c>
      <c r="B22" s="1299" t="s">
        <v>1387</v>
      </c>
      <c r="C22" s="1299" t="s">
        <v>1391</v>
      </c>
      <c r="D22" s="1299" t="s">
        <v>1392</v>
      </c>
      <c r="E22" s="1299" t="s">
        <v>1393</v>
      </c>
      <c r="F22" s="1299" t="s">
        <v>1394</v>
      </c>
      <c r="G22" s="1299" t="s">
        <v>1434</v>
      </c>
      <c r="H22" s="1299" t="s">
        <v>1435</v>
      </c>
      <c r="I22" s="1299" t="s">
        <v>221</v>
      </c>
      <c r="J22" s="1288" t="s">
        <v>545</v>
      </c>
      <c r="K22" s="1832" t="s">
        <v>300</v>
      </c>
    </row>
    <row r="23" spans="1:12" ht="28.5" customHeight="1">
      <c r="A23" s="1302"/>
      <c r="B23" s="1814"/>
      <c r="C23" s="1814"/>
      <c r="D23" s="1814"/>
      <c r="E23" s="1814"/>
      <c r="F23" s="1814"/>
      <c r="G23" s="1814"/>
      <c r="H23" s="1814"/>
      <c r="I23" s="1814"/>
      <c r="J23" s="1814"/>
      <c r="K23" s="1833"/>
    </row>
    <row r="24" spans="1:12" ht="14.25" customHeight="1">
      <c r="A24" s="92" t="s">
        <v>278</v>
      </c>
      <c r="B24" s="57" t="s">
        <v>279</v>
      </c>
      <c r="C24" s="87" t="s">
        <v>280</v>
      </c>
      <c r="D24" s="57" t="s">
        <v>281</v>
      </c>
      <c r="E24" s="87" t="s">
        <v>282</v>
      </c>
      <c r="F24" s="57" t="s">
        <v>283</v>
      </c>
      <c r="G24" s="87" t="s">
        <v>284</v>
      </c>
      <c r="H24" s="57" t="s">
        <v>301</v>
      </c>
      <c r="I24" s="87" t="s">
        <v>302</v>
      </c>
      <c r="J24" s="57" t="s">
        <v>303</v>
      </c>
      <c r="K24" s="58" t="s">
        <v>304</v>
      </c>
    </row>
    <row r="25" spans="1:12" ht="20.100000000000001" customHeight="1">
      <c r="A25" s="298">
        <v>2010</v>
      </c>
      <c r="B25" s="428">
        <v>8125</v>
      </c>
      <c r="C25" s="225">
        <v>27960</v>
      </c>
      <c r="D25" s="428">
        <v>75482</v>
      </c>
      <c r="E25" s="215">
        <v>1915</v>
      </c>
      <c r="F25" s="428">
        <v>940</v>
      </c>
      <c r="G25" s="215">
        <v>628</v>
      </c>
      <c r="H25" s="428">
        <v>675</v>
      </c>
      <c r="I25" s="215">
        <v>11303</v>
      </c>
      <c r="J25" s="428">
        <v>18</v>
      </c>
      <c r="K25" s="227">
        <f>SUM(B25:J25)</f>
        <v>127046</v>
      </c>
    </row>
    <row r="26" spans="1:12" ht="20.100000000000001" customHeight="1">
      <c r="A26" s="298">
        <v>2011</v>
      </c>
      <c r="B26" s="428">
        <v>8352</v>
      </c>
      <c r="C26" s="225">
        <v>28088</v>
      </c>
      <c r="D26" s="428">
        <v>85213</v>
      </c>
      <c r="E26" s="215">
        <v>1966</v>
      </c>
      <c r="F26" s="428">
        <v>1006</v>
      </c>
      <c r="G26" s="215">
        <v>631</v>
      </c>
      <c r="H26" s="428">
        <v>701</v>
      </c>
      <c r="I26" s="215">
        <v>11645</v>
      </c>
      <c r="J26" s="428">
        <v>42</v>
      </c>
      <c r="K26" s="227">
        <f>SUM(B26:J26)</f>
        <v>137644</v>
      </c>
    </row>
    <row r="27" spans="1:12" ht="20.100000000000001" customHeight="1">
      <c r="A27" s="298">
        <v>2012</v>
      </c>
      <c r="B27" s="428">
        <v>8599</v>
      </c>
      <c r="C27" s="225">
        <v>28263</v>
      </c>
      <c r="D27" s="428">
        <v>96585</v>
      </c>
      <c r="E27" s="215">
        <v>2109</v>
      </c>
      <c r="F27" s="428">
        <v>1149</v>
      </c>
      <c r="G27" s="215">
        <v>637</v>
      </c>
      <c r="H27" s="428">
        <v>708</v>
      </c>
      <c r="I27" s="215">
        <v>12085</v>
      </c>
      <c r="J27" s="428">
        <v>56</v>
      </c>
      <c r="K27" s="227">
        <f>SUM(B27:J27)</f>
        <v>150191</v>
      </c>
    </row>
    <row r="28" spans="1:12" ht="20.100000000000001" customHeight="1">
      <c r="A28" s="298">
        <v>2013</v>
      </c>
      <c r="B28" s="428">
        <v>9418</v>
      </c>
      <c r="C28" s="225">
        <v>29014</v>
      </c>
      <c r="D28" s="428">
        <v>108604</v>
      </c>
      <c r="E28" s="215">
        <v>2292</v>
      </c>
      <c r="F28" s="428">
        <v>1198</v>
      </c>
      <c r="G28" s="215">
        <v>656</v>
      </c>
      <c r="H28" s="428">
        <v>714</v>
      </c>
      <c r="I28" s="215">
        <v>12322</v>
      </c>
      <c r="J28" s="226">
        <v>89</v>
      </c>
      <c r="K28" s="227">
        <f>SUM(B28:J28)</f>
        <v>164307</v>
      </c>
    </row>
    <row r="29" spans="1:12" ht="20.100000000000001" customHeight="1">
      <c r="A29" s="299">
        <v>2014</v>
      </c>
      <c r="B29" s="430">
        <v>10293</v>
      </c>
      <c r="C29" s="244">
        <v>29868</v>
      </c>
      <c r="D29" s="430">
        <v>120031</v>
      </c>
      <c r="E29" s="243">
        <v>2488</v>
      </c>
      <c r="F29" s="430">
        <v>1361</v>
      </c>
      <c r="G29" s="243">
        <v>677</v>
      </c>
      <c r="H29" s="430">
        <v>717</v>
      </c>
      <c r="I29" s="243">
        <v>12559</v>
      </c>
      <c r="J29" s="430">
        <v>144</v>
      </c>
      <c r="K29" s="427">
        <f>SUM(B29:J29)</f>
        <v>178138</v>
      </c>
    </row>
    <row r="30" spans="1:12" ht="12.75" customHeight="1">
      <c r="G30" s="359"/>
      <c r="H30" s="926" t="s">
        <v>80</v>
      </c>
      <c r="I30" s="933" t="s">
        <v>865</v>
      </c>
      <c r="J30" s="359"/>
    </row>
    <row r="31" spans="1:12">
      <c r="H31" s="869" t="s">
        <v>81</v>
      </c>
      <c r="I31" s="871" t="s">
        <v>176</v>
      </c>
    </row>
    <row r="32" spans="1:12">
      <c r="H32" s="871"/>
      <c r="I32" s="871"/>
      <c r="K32" s="56"/>
      <c r="L32" s="383"/>
    </row>
    <row r="71" spans="3:10" ht="12" customHeight="1">
      <c r="C71" s="55"/>
    </row>
    <row r="72" spans="3:10" ht="12" customHeight="1">
      <c r="C72" s="55"/>
      <c r="I72" s="67"/>
      <c r="J72" s="2"/>
    </row>
    <row r="73" spans="3:10" ht="12" customHeight="1"/>
    <row r="74" spans="3:10">
      <c r="C74" s="67"/>
    </row>
  </sheetData>
  <mergeCells count="62">
    <mergeCell ref="A1:K1"/>
    <mergeCell ref="A2:K2"/>
    <mergeCell ref="I3:K3"/>
    <mergeCell ref="I5:K5"/>
    <mergeCell ref="C4:E4"/>
    <mergeCell ref="C5:E5"/>
    <mergeCell ref="F4:H4"/>
    <mergeCell ref="F5:H5"/>
    <mergeCell ref="A4:B4"/>
    <mergeCell ref="A5:B5"/>
    <mergeCell ref="I4:K4"/>
    <mergeCell ref="I6:K6"/>
    <mergeCell ref="I7:K7"/>
    <mergeCell ref="F7:H7"/>
    <mergeCell ref="F6:H6"/>
    <mergeCell ref="F8:H8"/>
    <mergeCell ref="E22:E23"/>
    <mergeCell ref="H22:H23"/>
    <mergeCell ref="I15:K15"/>
    <mergeCell ref="K22:K23"/>
    <mergeCell ref="F22:F23"/>
    <mergeCell ref="F15:H15"/>
    <mergeCell ref="A19:K19"/>
    <mergeCell ref="A20:K20"/>
    <mergeCell ref="D22:D23"/>
    <mergeCell ref="I22:I23"/>
    <mergeCell ref="G22:G23"/>
    <mergeCell ref="J22:J23"/>
    <mergeCell ref="I12:K12"/>
    <mergeCell ref="I13:K13"/>
    <mergeCell ref="I14:K14"/>
    <mergeCell ref="I8:K8"/>
    <mergeCell ref="F14:H14"/>
    <mergeCell ref="C12:E12"/>
    <mergeCell ref="A13:B13"/>
    <mergeCell ref="A14:B14"/>
    <mergeCell ref="C14:E14"/>
    <mergeCell ref="F12:H12"/>
    <mergeCell ref="F13:H13"/>
    <mergeCell ref="A8:B8"/>
    <mergeCell ref="C11:K11"/>
    <mergeCell ref="F10:H10"/>
    <mergeCell ref="I9:K9"/>
    <mergeCell ref="C10:E10"/>
    <mergeCell ref="I10:K10"/>
    <mergeCell ref="F9:H9"/>
    <mergeCell ref="C6:E6"/>
    <mergeCell ref="C7:E7"/>
    <mergeCell ref="A22:A23"/>
    <mergeCell ref="B22:B23"/>
    <mergeCell ref="C22:C23"/>
    <mergeCell ref="A9:B9"/>
    <mergeCell ref="A10:B10"/>
    <mergeCell ref="C9:E9"/>
    <mergeCell ref="C13:E13"/>
    <mergeCell ref="A12:B12"/>
    <mergeCell ref="A15:B15"/>
    <mergeCell ref="C15:E15"/>
    <mergeCell ref="A11:B11"/>
    <mergeCell ref="A6:B6"/>
    <mergeCell ref="A7:B7"/>
    <mergeCell ref="C8:E8"/>
  </mergeCells>
  <phoneticPr fontId="0" type="noConversion"/>
  <printOptions horizontalCentered="1"/>
  <pageMargins left="0.1" right="0.1" top="0.5" bottom="0.1" header="0.5" footer="0.1"/>
  <pageSetup paperSize="9" orientation="landscape" blackAndWhite="1" r:id="rId1"/>
  <headerFooter alignWithMargins="0"/>
</worksheet>
</file>

<file path=xl/worksheets/sheet66.xml><?xml version="1.0" encoding="utf-8"?>
<worksheet xmlns="http://schemas.openxmlformats.org/spreadsheetml/2006/main" xmlns:r="http://schemas.openxmlformats.org/officeDocument/2006/relationships">
  <sheetPr codeName="Sheet71"/>
  <dimension ref="A1:G38"/>
  <sheetViews>
    <sheetView topLeftCell="A28" zoomScaleNormal="75" workbookViewId="0">
      <selection activeCell="G22" sqref="G22"/>
    </sheetView>
  </sheetViews>
  <sheetFormatPr defaultRowHeight="12.75"/>
  <cols>
    <col min="1" max="1" width="20" customWidth="1"/>
    <col min="2" max="4" width="10.85546875" customWidth="1"/>
    <col min="5" max="5" width="13" customWidth="1"/>
    <col min="6" max="7" width="11.85546875" customWidth="1"/>
  </cols>
  <sheetData>
    <row r="1" spans="1:7">
      <c r="A1" s="1361" t="s">
        <v>473</v>
      </c>
      <c r="B1" s="1361"/>
      <c r="C1" s="1361"/>
      <c r="D1" s="1361"/>
      <c r="E1" s="1361"/>
      <c r="F1" s="1361"/>
      <c r="G1" s="1361"/>
    </row>
    <row r="2" spans="1:7" ht="24.75" customHeight="1">
      <c r="A2" s="1354" t="str">
        <f>CONCATENATE("Accidents on Roads in the district of ",District!$A$1)</f>
        <v>Accidents on Roads in the district of Jalpaiguri</v>
      </c>
      <c r="B2" s="1354"/>
      <c r="C2" s="1354"/>
      <c r="D2" s="1354"/>
      <c r="E2" s="1354"/>
      <c r="F2" s="1354"/>
      <c r="G2" s="1354"/>
    </row>
    <row r="3" spans="1:7" ht="21" customHeight="1">
      <c r="A3" s="814" t="s">
        <v>98</v>
      </c>
      <c r="B3" s="1834" t="s">
        <v>1042</v>
      </c>
      <c r="C3" s="1835"/>
      <c r="D3" s="1834" t="s">
        <v>1451</v>
      </c>
      <c r="E3" s="1835"/>
      <c r="F3" s="1834" t="s">
        <v>1041</v>
      </c>
      <c r="G3" s="1835"/>
    </row>
    <row r="4" spans="1:7" ht="21" customHeight="1">
      <c r="A4" s="92" t="s">
        <v>278</v>
      </c>
      <c r="B4" s="1385" t="s">
        <v>279</v>
      </c>
      <c r="C4" s="1386"/>
      <c r="D4" s="1424" t="s">
        <v>280</v>
      </c>
      <c r="E4" s="1386"/>
      <c r="F4" s="1385" t="s">
        <v>281</v>
      </c>
      <c r="G4" s="1386"/>
    </row>
    <row r="5" spans="1:7" ht="24" customHeight="1">
      <c r="A5" s="298">
        <v>2010</v>
      </c>
      <c r="B5" s="1613">
        <v>659</v>
      </c>
      <c r="C5" s="1614"/>
      <c r="D5" s="1613">
        <v>1012</v>
      </c>
      <c r="E5" s="1614"/>
      <c r="F5" s="1613">
        <v>278</v>
      </c>
      <c r="G5" s="1614"/>
    </row>
    <row r="6" spans="1:7" ht="24" customHeight="1">
      <c r="A6" s="298">
        <v>2011</v>
      </c>
      <c r="B6" s="1324">
        <v>677</v>
      </c>
      <c r="C6" s="1316"/>
      <c r="D6" s="1324">
        <v>891</v>
      </c>
      <c r="E6" s="1316"/>
      <c r="F6" s="1324">
        <v>292</v>
      </c>
      <c r="G6" s="1316"/>
    </row>
    <row r="7" spans="1:7" ht="24" customHeight="1">
      <c r="A7" s="298">
        <v>2012</v>
      </c>
      <c r="B7" s="1324">
        <v>694</v>
      </c>
      <c r="C7" s="1316"/>
      <c r="D7" s="1324">
        <v>857</v>
      </c>
      <c r="E7" s="1316"/>
      <c r="F7" s="1324">
        <v>342</v>
      </c>
      <c r="G7" s="1316"/>
    </row>
    <row r="8" spans="1:7" ht="24" customHeight="1">
      <c r="A8" s="298">
        <v>2013</v>
      </c>
      <c r="B8" s="1324">
        <v>607</v>
      </c>
      <c r="C8" s="1316"/>
      <c r="D8" s="1324">
        <v>881</v>
      </c>
      <c r="E8" s="1316"/>
      <c r="F8" s="1324">
        <v>274</v>
      </c>
      <c r="G8" s="1316"/>
    </row>
    <row r="9" spans="1:7" ht="24" customHeight="1">
      <c r="A9" s="299">
        <v>2014</v>
      </c>
      <c r="B9" s="1447">
        <v>648</v>
      </c>
      <c r="C9" s="1448"/>
      <c r="D9" s="1447">
        <v>891</v>
      </c>
      <c r="E9" s="1448"/>
      <c r="F9" s="1447">
        <v>270</v>
      </c>
      <c r="G9" s="1448"/>
    </row>
    <row r="10" spans="1:7">
      <c r="B10" s="181"/>
      <c r="C10" s="181"/>
      <c r="D10" s="181"/>
      <c r="E10" s="181"/>
      <c r="F10" s="181"/>
      <c r="G10" s="886" t="s">
        <v>1399</v>
      </c>
    </row>
    <row r="11" spans="1:7" ht="12" customHeight="1">
      <c r="A11" s="181"/>
      <c r="B11" s="181"/>
      <c r="C11" s="181"/>
      <c r="D11" s="181"/>
      <c r="E11" s="181"/>
      <c r="F11" s="181"/>
      <c r="G11" s="181"/>
    </row>
    <row r="12" spans="1:7">
      <c r="A12" s="1286" t="s">
        <v>474</v>
      </c>
      <c r="B12" s="1286"/>
      <c r="C12" s="1286"/>
      <c r="D12" s="1286"/>
      <c r="E12" s="1286"/>
      <c r="F12" s="1286"/>
      <c r="G12" s="1286"/>
    </row>
    <row r="13" spans="1:7" ht="19.5" customHeight="1">
      <c r="A13" s="1354" t="str">
        <f>CONCATENATE("Post &amp; Telegraph Offices in the district of ",District!$A$1)</f>
        <v>Post &amp; Telegraph Offices in the district of Jalpaiguri</v>
      </c>
      <c r="B13" s="1354"/>
      <c r="C13" s="1354"/>
      <c r="D13" s="1354"/>
      <c r="E13" s="1354"/>
      <c r="F13" s="1354"/>
      <c r="G13" s="1354"/>
    </row>
    <row r="14" spans="1:7">
      <c r="B14" s="521"/>
      <c r="C14" s="521"/>
      <c r="D14" s="521"/>
      <c r="E14" s="521"/>
      <c r="F14" s="521"/>
      <c r="G14" s="407" t="s">
        <v>312</v>
      </c>
    </row>
    <row r="15" spans="1:7" ht="38.25" customHeight="1">
      <c r="A15" s="819" t="s">
        <v>855</v>
      </c>
      <c r="B15" s="1834" t="s">
        <v>1452</v>
      </c>
      <c r="C15" s="1835"/>
      <c r="D15" s="1834" t="s">
        <v>1454</v>
      </c>
      <c r="E15" s="1835"/>
      <c r="F15" s="1836" t="s">
        <v>1455</v>
      </c>
      <c r="G15" s="1835"/>
    </row>
    <row r="16" spans="1:7" ht="19.5" customHeight="1">
      <c r="A16" s="92" t="s">
        <v>278</v>
      </c>
      <c r="B16" s="1385" t="s">
        <v>279</v>
      </c>
      <c r="C16" s="1386"/>
      <c r="D16" s="1385" t="s">
        <v>280</v>
      </c>
      <c r="E16" s="1386"/>
      <c r="F16" s="1424" t="s">
        <v>281</v>
      </c>
      <c r="G16" s="1386"/>
    </row>
    <row r="17" spans="1:7" ht="24.75" customHeight="1">
      <c r="A17" s="298">
        <v>2010</v>
      </c>
      <c r="B17" s="1613">
        <v>301</v>
      </c>
      <c r="C17" s="1614"/>
      <c r="D17" s="1613">
        <v>1</v>
      </c>
      <c r="E17" s="1614"/>
      <c r="F17" s="1613">
        <v>26</v>
      </c>
      <c r="G17" s="1614"/>
    </row>
    <row r="18" spans="1:7" ht="24.75" customHeight="1">
      <c r="A18" s="298">
        <v>2011</v>
      </c>
      <c r="B18" s="1324">
        <v>301</v>
      </c>
      <c r="C18" s="1316"/>
      <c r="D18" s="1324" t="s">
        <v>570</v>
      </c>
      <c r="E18" s="1316"/>
      <c r="F18" s="1324" t="s">
        <v>570</v>
      </c>
      <c r="G18" s="1316"/>
    </row>
    <row r="19" spans="1:7" ht="24.75" customHeight="1">
      <c r="A19" s="298">
        <v>2012</v>
      </c>
      <c r="B19" s="1324">
        <v>301</v>
      </c>
      <c r="C19" s="1316"/>
      <c r="D19" s="1324" t="s">
        <v>570</v>
      </c>
      <c r="E19" s="1316"/>
      <c r="F19" s="1324" t="s">
        <v>570</v>
      </c>
      <c r="G19" s="1316"/>
    </row>
    <row r="20" spans="1:7" ht="24.75" customHeight="1">
      <c r="A20" s="298">
        <v>2013</v>
      </c>
      <c r="B20" s="1324">
        <v>301</v>
      </c>
      <c r="C20" s="1316"/>
      <c r="D20" s="1324" t="s">
        <v>570</v>
      </c>
      <c r="E20" s="1316"/>
      <c r="F20" s="1324" t="s">
        <v>570</v>
      </c>
      <c r="G20" s="1316"/>
    </row>
    <row r="21" spans="1:7" ht="24.75" customHeight="1">
      <c r="A21" s="299">
        <v>2014</v>
      </c>
      <c r="B21" s="1447">
        <v>301</v>
      </c>
      <c r="C21" s="1448"/>
      <c r="D21" s="1447" t="s">
        <v>570</v>
      </c>
      <c r="E21" s="1448"/>
      <c r="F21" s="1447" t="s">
        <v>570</v>
      </c>
      <c r="G21" s="1448"/>
    </row>
    <row r="22" spans="1:7" ht="12.75" customHeight="1">
      <c r="A22" s="944"/>
      <c r="B22" s="460"/>
      <c r="C22" s="460"/>
      <c r="E22" s="813"/>
      <c r="F22" s="813"/>
      <c r="G22" s="925" t="s">
        <v>1456</v>
      </c>
    </row>
    <row r="23" spans="1:7">
      <c r="A23" s="361"/>
      <c r="B23" s="361"/>
      <c r="C23" s="361"/>
      <c r="D23" s="361"/>
      <c r="E23" s="31"/>
      <c r="F23" s="31"/>
      <c r="G23" s="31"/>
    </row>
    <row r="24" spans="1:7">
      <c r="A24" s="361"/>
      <c r="B24" s="361"/>
      <c r="C24" s="361"/>
      <c r="D24" s="361"/>
      <c r="E24" s="31"/>
      <c r="F24" s="31"/>
      <c r="G24" s="31"/>
    </row>
    <row r="25" spans="1:7">
      <c r="A25" s="1524" t="s">
        <v>475</v>
      </c>
      <c r="B25" s="1524"/>
      <c r="C25" s="1524"/>
      <c r="D25" s="1524"/>
      <c r="E25" s="1524"/>
      <c r="F25" s="1524"/>
      <c r="G25" s="1524"/>
    </row>
    <row r="26" spans="1:7" ht="22.5" customHeight="1">
      <c r="A26" s="1579" t="str">
        <f>CONCATENATE("Progress in Tourism in the district of ",District!$A$1)</f>
        <v>Progress in Tourism in the district of Jalpaiguri</v>
      </c>
      <c r="B26" s="1579"/>
      <c r="C26" s="1579"/>
      <c r="D26" s="1579"/>
      <c r="E26" s="1579"/>
      <c r="F26" s="1579"/>
      <c r="G26" s="1579"/>
    </row>
    <row r="27" spans="1:7" ht="55.5" customHeight="1">
      <c r="A27" s="814" t="s">
        <v>98</v>
      </c>
      <c r="B27" s="951" t="s">
        <v>1265</v>
      </c>
      <c r="C27" s="952" t="s">
        <v>1381</v>
      </c>
      <c r="D27" s="881" t="s">
        <v>177</v>
      </c>
      <c r="E27" s="1122" t="s">
        <v>1266</v>
      </c>
      <c r="F27" s="1122" t="s">
        <v>257</v>
      </c>
      <c r="G27" s="1116" t="s">
        <v>914</v>
      </c>
    </row>
    <row r="28" spans="1:7" ht="18.75" customHeight="1">
      <c r="A28" s="92" t="s">
        <v>278</v>
      </c>
      <c r="B28" s="57" t="s">
        <v>279</v>
      </c>
      <c r="C28" s="87" t="s">
        <v>280</v>
      </c>
      <c r="D28" s="57" t="s">
        <v>281</v>
      </c>
      <c r="E28" s="87" t="s">
        <v>282</v>
      </c>
      <c r="F28" s="57" t="s">
        <v>283</v>
      </c>
      <c r="G28" s="58" t="s">
        <v>284</v>
      </c>
    </row>
    <row r="29" spans="1:7" ht="24" customHeight="1">
      <c r="A29" s="729" t="s">
        <v>1110</v>
      </c>
      <c r="B29" s="294" t="s">
        <v>117</v>
      </c>
      <c r="C29" s="225">
        <v>6851</v>
      </c>
      <c r="D29" s="754">
        <v>51793</v>
      </c>
      <c r="E29" s="754">
        <v>27289</v>
      </c>
      <c r="F29" s="754">
        <v>16</v>
      </c>
      <c r="G29" s="529">
        <v>21299</v>
      </c>
    </row>
    <row r="30" spans="1:7" ht="24" customHeight="1">
      <c r="A30" s="729" t="s">
        <v>1111</v>
      </c>
      <c r="B30" s="294" t="s">
        <v>117</v>
      </c>
      <c r="C30" s="225">
        <v>7353</v>
      </c>
      <c r="D30" s="232">
        <v>63344</v>
      </c>
      <c r="E30" s="232">
        <v>29424</v>
      </c>
      <c r="F30" s="232">
        <v>16</v>
      </c>
      <c r="G30" s="227">
        <v>22470</v>
      </c>
    </row>
    <row r="31" spans="1:7" ht="24" customHeight="1">
      <c r="A31" s="729" t="s">
        <v>641</v>
      </c>
      <c r="B31" s="294" t="s">
        <v>117</v>
      </c>
      <c r="C31" s="225">
        <v>8440</v>
      </c>
      <c r="D31" s="232">
        <v>77419</v>
      </c>
      <c r="E31" s="232">
        <v>30729</v>
      </c>
      <c r="F31" s="232">
        <v>16</v>
      </c>
      <c r="G31" s="227">
        <v>25268</v>
      </c>
    </row>
    <row r="32" spans="1:7" ht="24" customHeight="1">
      <c r="A32" s="729" t="s">
        <v>909</v>
      </c>
      <c r="B32" s="294" t="s">
        <v>117</v>
      </c>
      <c r="C32" s="225">
        <v>9622</v>
      </c>
      <c r="D32" s="232">
        <v>78405</v>
      </c>
      <c r="E32" s="232">
        <v>31166</v>
      </c>
      <c r="F32" s="232">
        <v>16</v>
      </c>
      <c r="G32" s="227">
        <v>25412</v>
      </c>
    </row>
    <row r="33" spans="1:7" ht="24" customHeight="1">
      <c r="A33" s="682" t="s">
        <v>895</v>
      </c>
      <c r="B33" s="341" t="s">
        <v>117</v>
      </c>
      <c r="C33" s="244">
        <v>11369</v>
      </c>
      <c r="D33" s="235">
        <v>84665</v>
      </c>
      <c r="E33" s="235">
        <v>33941</v>
      </c>
      <c r="F33" s="235">
        <v>16</v>
      </c>
      <c r="G33" s="427">
        <v>27422</v>
      </c>
    </row>
    <row r="34" spans="1:7" ht="12.75" customHeight="1">
      <c r="A34" s="945"/>
      <c r="B34" s="1030"/>
      <c r="C34" s="870"/>
      <c r="D34" s="869" t="s">
        <v>80</v>
      </c>
      <c r="E34" s="870" t="s">
        <v>1267</v>
      </c>
      <c r="F34" s="872"/>
      <c r="G34" s="873"/>
    </row>
    <row r="35" spans="1:7" ht="12" customHeight="1">
      <c r="A35" s="3"/>
      <c r="B35" s="871"/>
      <c r="C35" s="873"/>
      <c r="D35" s="869" t="s">
        <v>81</v>
      </c>
      <c r="E35" s="874" t="s">
        <v>319</v>
      </c>
      <c r="F35" s="872"/>
      <c r="G35" s="874"/>
    </row>
    <row r="36" spans="1:7" ht="12" customHeight="1">
      <c r="A36" s="3"/>
      <c r="B36" s="871"/>
      <c r="C36" s="873"/>
      <c r="D36" s="869" t="s">
        <v>82</v>
      </c>
      <c r="E36" s="872" t="s">
        <v>320</v>
      </c>
      <c r="F36" s="872"/>
      <c r="G36" s="874"/>
    </row>
    <row r="37" spans="1:7" ht="12" customHeight="1">
      <c r="A37" s="2"/>
      <c r="B37" s="871"/>
      <c r="C37" s="872"/>
      <c r="D37" s="869" t="s">
        <v>83</v>
      </c>
      <c r="E37" s="874" t="s">
        <v>1268</v>
      </c>
      <c r="F37" s="872"/>
      <c r="G37" s="874"/>
    </row>
    <row r="38" spans="1:7" ht="12" customHeight="1">
      <c r="A38" s="2"/>
      <c r="B38" s="871"/>
      <c r="C38" s="872"/>
      <c r="D38" s="871"/>
      <c r="E38" s="874" t="s">
        <v>321</v>
      </c>
      <c r="F38" s="872"/>
      <c r="G38" s="874"/>
    </row>
  </sheetData>
  <mergeCells count="48">
    <mergeCell ref="F4:G4"/>
    <mergeCell ref="F18:G18"/>
    <mergeCell ref="D16:E16"/>
    <mergeCell ref="F15:G15"/>
    <mergeCell ref="F17:G17"/>
    <mergeCell ref="D6:E6"/>
    <mergeCell ref="D4:E4"/>
    <mergeCell ref="D8:E8"/>
    <mergeCell ref="F7:G7"/>
    <mergeCell ref="F16:G16"/>
    <mergeCell ref="D5:E5"/>
    <mergeCell ref="F5:G5"/>
    <mergeCell ref="F6:G6"/>
    <mergeCell ref="D9:E9"/>
    <mergeCell ref="D18:E18"/>
    <mergeCell ref="A13:G13"/>
    <mergeCell ref="A1:G1"/>
    <mergeCell ref="A2:G2"/>
    <mergeCell ref="B15:C15"/>
    <mergeCell ref="F19:G19"/>
    <mergeCell ref="D15:E15"/>
    <mergeCell ref="F3:G3"/>
    <mergeCell ref="B3:C3"/>
    <mergeCell ref="B4:C4"/>
    <mergeCell ref="B5:C5"/>
    <mergeCell ref="B6:C6"/>
    <mergeCell ref="A12:G12"/>
    <mergeCell ref="F8:G8"/>
    <mergeCell ref="F9:G9"/>
    <mergeCell ref="D3:E3"/>
    <mergeCell ref="B7:C7"/>
    <mergeCell ref="D7:E7"/>
    <mergeCell ref="B8:C8"/>
    <mergeCell ref="A25:G25"/>
    <mergeCell ref="A26:G26"/>
    <mergeCell ref="F20:G20"/>
    <mergeCell ref="F21:G21"/>
    <mergeCell ref="B20:C20"/>
    <mergeCell ref="B21:C21"/>
    <mergeCell ref="D20:E20"/>
    <mergeCell ref="D21:E21"/>
    <mergeCell ref="B9:C9"/>
    <mergeCell ref="B19:C19"/>
    <mergeCell ref="D19:E19"/>
    <mergeCell ref="B16:C16"/>
    <mergeCell ref="B17:C17"/>
    <mergeCell ref="D17:E17"/>
    <mergeCell ref="B18:C18"/>
  </mergeCells>
  <phoneticPr fontId="0" type="noConversion"/>
  <printOptions horizontalCentered="1"/>
  <pageMargins left="0" right="0" top="0.46" bottom="0.15" header="0.14000000000000001" footer="0.21"/>
  <pageSetup paperSize="9" orientation="portrait" blackAndWhite="1" r:id="rId1"/>
  <headerFooter alignWithMargins="0"/>
</worksheet>
</file>

<file path=xl/worksheets/sheet67.xml><?xml version="1.0" encoding="utf-8"?>
<worksheet xmlns="http://schemas.openxmlformats.org/spreadsheetml/2006/main" xmlns:r="http://schemas.openxmlformats.org/officeDocument/2006/relationships">
  <sheetPr codeName="Sheet72"/>
  <dimension ref="A1:K33"/>
  <sheetViews>
    <sheetView topLeftCell="A16" workbookViewId="0">
      <selection activeCell="K17" sqref="K17"/>
    </sheetView>
  </sheetViews>
  <sheetFormatPr defaultRowHeight="12.75"/>
  <cols>
    <col min="1" max="1" width="19.42578125" customWidth="1"/>
    <col min="2" max="11" width="10.7109375" customWidth="1"/>
  </cols>
  <sheetData>
    <row r="1" spans="1:11" ht="12.75" customHeight="1">
      <c r="A1" s="1286" t="s">
        <v>476</v>
      </c>
      <c r="B1" s="1286"/>
      <c r="C1" s="1286"/>
      <c r="D1" s="1286"/>
      <c r="E1" s="1286"/>
      <c r="F1" s="1286"/>
      <c r="G1" s="1286"/>
      <c r="H1" s="1286"/>
      <c r="I1" s="1286"/>
      <c r="J1" s="1286"/>
      <c r="K1" s="1286"/>
    </row>
    <row r="2" spans="1:11" ht="31.5" customHeight="1">
      <c r="A2" s="1750" t="str">
        <f>CONCATENATE("Offences reported, Cases tried, Persons convicted and acquitted for different classes of  offence 
in the district of ",District!$A$1)</f>
        <v>Offences reported, Cases tried, Persons convicted and acquitted for different classes of  offence 
in the district of Jalpaiguri</v>
      </c>
      <c r="B2" s="1750"/>
      <c r="C2" s="1750"/>
      <c r="D2" s="1750"/>
      <c r="E2" s="1750"/>
      <c r="F2" s="1750"/>
      <c r="G2" s="1750"/>
      <c r="H2" s="1750"/>
      <c r="I2" s="1750"/>
      <c r="J2" s="1750"/>
      <c r="K2" s="1750"/>
    </row>
    <row r="3" spans="1:11" ht="12" customHeight="1">
      <c r="A3" s="359"/>
      <c r="B3" s="29"/>
      <c r="C3" s="29"/>
      <c r="D3" s="29"/>
      <c r="E3" s="29"/>
      <c r="F3" s="29"/>
      <c r="G3" s="29"/>
      <c r="H3" s="29"/>
      <c r="I3" s="29"/>
      <c r="J3" s="29"/>
      <c r="K3" s="665" t="s">
        <v>312</v>
      </c>
    </row>
    <row r="4" spans="1:11" ht="15" customHeight="1">
      <c r="A4" s="1746" t="s">
        <v>1005</v>
      </c>
      <c r="B4" s="1578" t="s">
        <v>1184</v>
      </c>
      <c r="C4" s="1489"/>
      <c r="D4" s="1489"/>
      <c r="E4" s="1489"/>
      <c r="F4" s="1490"/>
      <c r="G4" s="1578" t="s">
        <v>1185</v>
      </c>
      <c r="H4" s="1489"/>
      <c r="I4" s="1489"/>
      <c r="J4" s="1489"/>
      <c r="K4" s="1490"/>
    </row>
    <row r="5" spans="1:11" ht="15.75" customHeight="1">
      <c r="A5" s="1837"/>
      <c r="B5" s="757">
        <v>2010</v>
      </c>
      <c r="C5" s="758">
        <v>2011</v>
      </c>
      <c r="D5" s="759">
        <v>2012</v>
      </c>
      <c r="E5" s="759">
        <v>2013</v>
      </c>
      <c r="F5" s="759">
        <v>2014</v>
      </c>
      <c r="G5" s="757">
        <v>2010</v>
      </c>
      <c r="H5" s="758">
        <v>2011</v>
      </c>
      <c r="I5" s="759">
        <v>2012</v>
      </c>
      <c r="J5" s="759">
        <v>2013</v>
      </c>
      <c r="K5" s="759">
        <v>2014</v>
      </c>
    </row>
    <row r="6" spans="1:11" ht="15" customHeight="1">
      <c r="A6" s="57" t="s">
        <v>278</v>
      </c>
      <c r="B6" s="92" t="s">
        <v>279</v>
      </c>
      <c r="C6" s="57" t="s">
        <v>280</v>
      </c>
      <c r="D6" s="93" t="s">
        <v>281</v>
      </c>
      <c r="E6" s="57" t="s">
        <v>282</v>
      </c>
      <c r="F6" s="58" t="s">
        <v>283</v>
      </c>
      <c r="G6" s="92" t="s">
        <v>284</v>
      </c>
      <c r="H6" s="57" t="s">
        <v>301</v>
      </c>
      <c r="I6" s="87" t="s">
        <v>302</v>
      </c>
      <c r="J6" s="57" t="s">
        <v>303</v>
      </c>
      <c r="K6" s="58" t="s">
        <v>304</v>
      </c>
    </row>
    <row r="7" spans="1:11" ht="17.25" customHeight="1">
      <c r="A7" s="91" t="s">
        <v>1177</v>
      </c>
      <c r="B7" s="149">
        <v>117</v>
      </c>
      <c r="C7" s="535">
        <v>108</v>
      </c>
      <c r="D7" s="535">
        <v>117</v>
      </c>
      <c r="E7" s="535">
        <v>107</v>
      </c>
      <c r="F7" s="535">
        <v>123</v>
      </c>
      <c r="G7" s="535">
        <v>43</v>
      </c>
      <c r="H7" s="821">
        <v>45</v>
      </c>
      <c r="I7" s="535">
        <v>54</v>
      </c>
      <c r="J7" s="535">
        <v>73</v>
      </c>
      <c r="K7" s="535">
        <v>102</v>
      </c>
    </row>
    <row r="8" spans="1:11" ht="17.25" customHeight="1">
      <c r="A8" s="91" t="s">
        <v>1178</v>
      </c>
      <c r="B8" s="149">
        <v>19</v>
      </c>
      <c r="C8" s="535">
        <v>9</v>
      </c>
      <c r="D8" s="535">
        <v>5</v>
      </c>
      <c r="E8" s="535">
        <v>3</v>
      </c>
      <c r="F8" s="535">
        <v>4</v>
      </c>
      <c r="G8" s="535">
        <v>3</v>
      </c>
      <c r="H8" s="535">
        <v>2</v>
      </c>
      <c r="I8" s="535">
        <v>1</v>
      </c>
      <c r="J8" s="535">
        <v>2</v>
      </c>
      <c r="K8" s="535">
        <v>2</v>
      </c>
    </row>
    <row r="9" spans="1:11" ht="17.25" customHeight="1">
      <c r="A9" s="91" t="s">
        <v>1179</v>
      </c>
      <c r="B9" s="149">
        <v>65</v>
      </c>
      <c r="C9" s="535">
        <v>37</v>
      </c>
      <c r="D9" s="535">
        <v>36</v>
      </c>
      <c r="E9" s="535">
        <v>35</v>
      </c>
      <c r="F9" s="535">
        <v>16</v>
      </c>
      <c r="G9" s="535">
        <v>11</v>
      </c>
      <c r="H9" s="535">
        <v>1</v>
      </c>
      <c r="I9" s="535">
        <v>1</v>
      </c>
      <c r="J9" s="535">
        <v>21</v>
      </c>
      <c r="K9" s="535">
        <v>5</v>
      </c>
    </row>
    <row r="10" spans="1:11" ht="17.25" customHeight="1">
      <c r="A10" s="522" t="s">
        <v>1180</v>
      </c>
      <c r="B10" s="149">
        <v>61</v>
      </c>
      <c r="C10" s="535">
        <v>50</v>
      </c>
      <c r="D10" s="535">
        <v>25</v>
      </c>
      <c r="E10" s="535">
        <v>16</v>
      </c>
      <c r="F10" s="535">
        <v>14</v>
      </c>
      <c r="G10" s="535">
        <v>10</v>
      </c>
      <c r="H10" s="535" t="s">
        <v>117</v>
      </c>
      <c r="I10" s="535">
        <v>3</v>
      </c>
      <c r="J10" s="535">
        <v>7</v>
      </c>
      <c r="K10" s="535">
        <v>6</v>
      </c>
    </row>
    <row r="11" spans="1:11" ht="17.25" customHeight="1">
      <c r="A11" s="522" t="s">
        <v>1181</v>
      </c>
      <c r="B11" s="149">
        <v>74</v>
      </c>
      <c r="C11" s="535">
        <v>54</v>
      </c>
      <c r="D11" s="535">
        <v>42</v>
      </c>
      <c r="E11" s="535">
        <v>27</v>
      </c>
      <c r="F11" s="535">
        <v>21</v>
      </c>
      <c r="G11" s="535">
        <v>24</v>
      </c>
      <c r="H11" s="535">
        <v>30</v>
      </c>
      <c r="I11" s="535">
        <v>17</v>
      </c>
      <c r="J11" s="535">
        <v>30</v>
      </c>
      <c r="K11" s="535">
        <v>16</v>
      </c>
    </row>
    <row r="12" spans="1:11" ht="17.25" customHeight="1">
      <c r="A12" s="522" t="s">
        <v>1182</v>
      </c>
      <c r="B12" s="149">
        <v>1290</v>
      </c>
      <c r="C12" s="535">
        <v>1521</v>
      </c>
      <c r="D12" s="535">
        <v>1461</v>
      </c>
      <c r="E12" s="535">
        <v>1252</v>
      </c>
      <c r="F12" s="535">
        <v>1741</v>
      </c>
      <c r="G12" s="535">
        <v>22</v>
      </c>
      <c r="H12" s="535">
        <v>23</v>
      </c>
      <c r="I12" s="535">
        <v>194</v>
      </c>
      <c r="J12" s="535">
        <v>284</v>
      </c>
      <c r="K12" s="535">
        <v>328</v>
      </c>
    </row>
    <row r="13" spans="1:11" ht="17.25" customHeight="1">
      <c r="A13" s="522" t="s">
        <v>1101</v>
      </c>
      <c r="B13" s="149">
        <v>212</v>
      </c>
      <c r="C13" s="535">
        <v>265</v>
      </c>
      <c r="D13" s="535">
        <v>296</v>
      </c>
      <c r="E13" s="535">
        <v>337</v>
      </c>
      <c r="F13" s="535">
        <v>579</v>
      </c>
      <c r="G13" s="535">
        <v>62</v>
      </c>
      <c r="H13" s="535">
        <v>89</v>
      </c>
      <c r="I13" s="535">
        <v>3</v>
      </c>
      <c r="J13" s="535">
        <v>211</v>
      </c>
      <c r="K13" s="535">
        <v>281</v>
      </c>
    </row>
    <row r="14" spans="1:11" ht="27.75" customHeight="1">
      <c r="A14" s="522" t="s">
        <v>1183</v>
      </c>
      <c r="B14" s="149">
        <v>1481</v>
      </c>
      <c r="C14" s="535">
        <v>1858</v>
      </c>
      <c r="D14" s="535">
        <v>1821</v>
      </c>
      <c r="E14" s="535">
        <v>1773</v>
      </c>
      <c r="F14" s="535">
        <v>2185</v>
      </c>
      <c r="G14" s="535">
        <v>339</v>
      </c>
      <c r="H14" s="535">
        <v>305</v>
      </c>
      <c r="I14" s="535">
        <v>1011</v>
      </c>
      <c r="J14" s="535">
        <v>710</v>
      </c>
      <c r="K14" s="535">
        <v>712</v>
      </c>
    </row>
    <row r="15" spans="1:11" ht="17.25" customHeight="1">
      <c r="A15" s="523" t="s">
        <v>545</v>
      </c>
      <c r="B15" s="414">
        <v>4318</v>
      </c>
      <c r="C15" s="535">
        <v>4249</v>
      </c>
      <c r="D15" s="820">
        <v>4411</v>
      </c>
      <c r="E15" s="535">
        <v>4066</v>
      </c>
      <c r="F15" s="535">
        <v>4603</v>
      </c>
      <c r="G15" s="535">
        <v>380</v>
      </c>
      <c r="H15" s="820">
        <v>470</v>
      </c>
      <c r="I15" s="535">
        <v>2106</v>
      </c>
      <c r="J15" s="535">
        <v>2688</v>
      </c>
      <c r="K15" s="535">
        <v>3116</v>
      </c>
    </row>
    <row r="16" spans="1:11" ht="15" customHeight="1">
      <c r="A16" s="230" t="s">
        <v>300</v>
      </c>
      <c r="B16" s="230">
        <f t="shared" ref="B16:K16" si="0">SUM(B7:B15)</f>
        <v>7637</v>
      </c>
      <c r="C16" s="230">
        <f t="shared" si="0"/>
        <v>8151</v>
      </c>
      <c r="D16" s="230">
        <f t="shared" si="0"/>
        <v>8214</v>
      </c>
      <c r="E16" s="230">
        <f t="shared" si="0"/>
        <v>7616</v>
      </c>
      <c r="F16" s="230">
        <f t="shared" si="0"/>
        <v>9286</v>
      </c>
      <c r="G16" s="230">
        <f t="shared" si="0"/>
        <v>894</v>
      </c>
      <c r="H16" s="230">
        <f t="shared" si="0"/>
        <v>965</v>
      </c>
      <c r="I16" s="230">
        <f t="shared" si="0"/>
        <v>3390</v>
      </c>
      <c r="J16" s="230">
        <f t="shared" si="0"/>
        <v>4026</v>
      </c>
      <c r="K16" s="230">
        <f t="shared" si="0"/>
        <v>4568</v>
      </c>
    </row>
    <row r="17" spans="1:11" ht="15" customHeight="1">
      <c r="A17" s="223"/>
      <c r="B17" s="223"/>
      <c r="C17" s="223"/>
      <c r="D17" s="223"/>
      <c r="E17" s="223"/>
      <c r="F17" s="223"/>
      <c r="G17" s="223"/>
      <c r="H17" s="223"/>
      <c r="I17" s="223"/>
      <c r="J17" s="223"/>
      <c r="K17" s="858" t="s">
        <v>1011</v>
      </c>
    </row>
    <row r="18" spans="1:11" ht="13.5" customHeight="1">
      <c r="A18" s="1286" t="s">
        <v>178</v>
      </c>
      <c r="B18" s="1286"/>
      <c r="C18" s="1286"/>
      <c r="D18" s="1286"/>
      <c r="E18" s="1286"/>
      <c r="F18" s="1286"/>
      <c r="G18" s="1286"/>
      <c r="H18" s="1286"/>
      <c r="I18" s="1286"/>
      <c r="J18" s="1286"/>
      <c r="K18" s="1286"/>
    </row>
    <row r="19" spans="1:11" ht="12" customHeight="1">
      <c r="A19" s="602"/>
      <c r="B19" s="687"/>
      <c r="C19" s="687"/>
      <c r="D19" s="687"/>
      <c r="E19" s="687"/>
      <c r="F19" s="687"/>
      <c r="G19" s="687"/>
      <c r="H19" s="687"/>
      <c r="I19" s="687"/>
      <c r="J19" s="687"/>
      <c r="K19" s="665" t="s">
        <v>312</v>
      </c>
    </row>
    <row r="20" spans="1:11" ht="15.75" customHeight="1">
      <c r="A20" s="1746" t="s">
        <v>1008</v>
      </c>
      <c r="B20" s="1578" t="s">
        <v>1186</v>
      </c>
      <c r="C20" s="1489"/>
      <c r="D20" s="1489"/>
      <c r="E20" s="1489"/>
      <c r="F20" s="1490"/>
      <c r="G20" s="1445" t="s">
        <v>1269</v>
      </c>
      <c r="H20" s="1444"/>
      <c r="I20" s="1444"/>
      <c r="J20" s="1444"/>
      <c r="K20" s="1446"/>
    </row>
    <row r="21" spans="1:11" ht="15.75" customHeight="1">
      <c r="A21" s="1837"/>
      <c r="B21" s="757">
        <v>2010</v>
      </c>
      <c r="C21" s="758">
        <v>2011</v>
      </c>
      <c r="D21" s="759">
        <v>2012</v>
      </c>
      <c r="E21" s="759">
        <v>2013</v>
      </c>
      <c r="F21" s="759">
        <v>2014</v>
      </c>
      <c r="G21" s="757">
        <v>2010</v>
      </c>
      <c r="H21" s="758">
        <v>2011</v>
      </c>
      <c r="I21" s="759">
        <v>2012</v>
      </c>
      <c r="J21" s="759">
        <v>2013</v>
      </c>
      <c r="K21" s="759">
        <v>2014</v>
      </c>
    </row>
    <row r="22" spans="1:11" ht="15.75" customHeight="1">
      <c r="A22" s="57" t="s">
        <v>278</v>
      </c>
      <c r="B22" s="92" t="s">
        <v>344</v>
      </c>
      <c r="C22" s="59" t="s">
        <v>345</v>
      </c>
      <c r="D22" s="93" t="s">
        <v>346</v>
      </c>
      <c r="E22" s="59" t="s">
        <v>347</v>
      </c>
      <c r="F22" s="60" t="s">
        <v>348</v>
      </c>
      <c r="G22" s="153" t="s">
        <v>349</v>
      </c>
      <c r="H22" s="59" t="s">
        <v>351</v>
      </c>
      <c r="I22" s="93" t="s">
        <v>350</v>
      </c>
      <c r="J22" s="59" t="s">
        <v>892</v>
      </c>
      <c r="K22" s="60" t="s">
        <v>893</v>
      </c>
    </row>
    <row r="23" spans="1:11" ht="17.25" customHeight="1">
      <c r="A23" s="91" t="s">
        <v>1177</v>
      </c>
      <c r="B23" s="535">
        <v>9</v>
      </c>
      <c r="C23" s="148">
        <v>2</v>
      </c>
      <c r="D23" s="1212">
        <v>12</v>
      </c>
      <c r="E23" s="535">
        <v>13</v>
      </c>
      <c r="F23" s="535">
        <v>4</v>
      </c>
      <c r="G23" s="149">
        <v>130</v>
      </c>
      <c r="H23" s="535">
        <v>87</v>
      </c>
      <c r="I23" s="149">
        <v>197</v>
      </c>
      <c r="J23" s="535">
        <v>79</v>
      </c>
      <c r="K23" s="535">
        <v>83</v>
      </c>
    </row>
    <row r="24" spans="1:11" ht="17.25" customHeight="1">
      <c r="A24" s="91" t="s">
        <v>1178</v>
      </c>
      <c r="B24" s="149" t="s">
        <v>117</v>
      </c>
      <c r="C24" s="149" t="s">
        <v>117</v>
      </c>
      <c r="D24" s="149" t="s">
        <v>117</v>
      </c>
      <c r="E24" s="149">
        <v>1</v>
      </c>
      <c r="F24" s="149" t="s">
        <v>570</v>
      </c>
      <c r="G24" s="149">
        <v>24</v>
      </c>
      <c r="H24" s="535">
        <v>12</v>
      </c>
      <c r="I24" s="149">
        <v>5</v>
      </c>
      <c r="J24" s="535">
        <v>19</v>
      </c>
      <c r="K24" s="535">
        <v>11</v>
      </c>
    </row>
    <row r="25" spans="1:11" ht="17.25" customHeight="1">
      <c r="A25" s="91" t="s">
        <v>1179</v>
      </c>
      <c r="B25" s="149" t="s">
        <v>117</v>
      </c>
      <c r="C25" s="149" t="s">
        <v>117</v>
      </c>
      <c r="D25" s="149" t="s">
        <v>117</v>
      </c>
      <c r="E25" s="1185" t="s">
        <v>570</v>
      </c>
      <c r="F25" s="149" t="s">
        <v>570</v>
      </c>
      <c r="G25" s="149">
        <v>7</v>
      </c>
      <c r="H25" s="535">
        <v>4</v>
      </c>
      <c r="I25" s="149">
        <v>1</v>
      </c>
      <c r="J25" s="535">
        <v>5</v>
      </c>
      <c r="K25" s="535">
        <v>12</v>
      </c>
    </row>
    <row r="26" spans="1:11" ht="17.25" customHeight="1">
      <c r="A26" s="522" t="s">
        <v>1180</v>
      </c>
      <c r="B26" s="149" t="s">
        <v>117</v>
      </c>
      <c r="C26" s="149" t="s">
        <v>117</v>
      </c>
      <c r="D26" s="149" t="s">
        <v>117</v>
      </c>
      <c r="E26" s="1185" t="s">
        <v>570</v>
      </c>
      <c r="F26" s="149" t="s">
        <v>570</v>
      </c>
      <c r="G26" s="149">
        <v>4</v>
      </c>
      <c r="H26" s="535" t="s">
        <v>117</v>
      </c>
      <c r="I26" s="149">
        <v>2</v>
      </c>
      <c r="J26" s="535">
        <v>2</v>
      </c>
      <c r="K26" s="535">
        <v>3</v>
      </c>
    </row>
    <row r="27" spans="1:11" ht="17.25" customHeight="1">
      <c r="A27" s="522" t="s">
        <v>1181</v>
      </c>
      <c r="B27" s="149" t="s">
        <v>117</v>
      </c>
      <c r="C27" s="149" t="s">
        <v>117</v>
      </c>
      <c r="D27" s="149" t="s">
        <v>117</v>
      </c>
      <c r="E27" s="1185" t="s">
        <v>570</v>
      </c>
      <c r="F27" s="1185">
        <v>3</v>
      </c>
      <c r="G27" s="149">
        <v>135</v>
      </c>
      <c r="H27" s="535">
        <v>233</v>
      </c>
      <c r="I27" s="149">
        <v>87</v>
      </c>
      <c r="J27" s="535">
        <v>146</v>
      </c>
      <c r="K27" s="535">
        <v>165</v>
      </c>
    </row>
    <row r="28" spans="1:11" ht="17.25" customHeight="1">
      <c r="A28" s="522" t="s">
        <v>1182</v>
      </c>
      <c r="B28" s="535">
        <v>3</v>
      </c>
      <c r="C28" s="148" t="s">
        <v>117</v>
      </c>
      <c r="D28" s="291" t="s">
        <v>117</v>
      </c>
      <c r="E28" s="149">
        <v>11</v>
      </c>
      <c r="F28" s="149">
        <v>13</v>
      </c>
      <c r="G28" s="149">
        <v>66</v>
      </c>
      <c r="H28" s="535">
        <v>51</v>
      </c>
      <c r="I28" s="149">
        <v>21</v>
      </c>
      <c r="J28" s="535">
        <v>33</v>
      </c>
      <c r="K28" s="535">
        <v>83</v>
      </c>
    </row>
    <row r="29" spans="1:11" ht="17.25" customHeight="1">
      <c r="A29" s="522" t="s">
        <v>1101</v>
      </c>
      <c r="B29" s="535">
        <v>30</v>
      </c>
      <c r="C29" s="148">
        <v>35</v>
      </c>
      <c r="D29" s="548">
        <v>15</v>
      </c>
      <c r="E29" s="535">
        <v>16</v>
      </c>
      <c r="F29" s="535">
        <v>28</v>
      </c>
      <c r="G29" s="149">
        <v>60</v>
      </c>
      <c r="H29" s="535">
        <v>172</v>
      </c>
      <c r="I29" s="149">
        <v>52</v>
      </c>
      <c r="J29" s="535">
        <v>79</v>
      </c>
      <c r="K29" s="535">
        <v>67</v>
      </c>
    </row>
    <row r="30" spans="1:11" ht="26.25" customHeight="1">
      <c r="A30" s="522" t="s">
        <v>1183</v>
      </c>
      <c r="B30" s="548">
        <v>18</v>
      </c>
      <c r="C30" s="148">
        <v>26</v>
      </c>
      <c r="D30" s="548">
        <v>19</v>
      </c>
      <c r="E30" s="535">
        <v>18</v>
      </c>
      <c r="F30" s="535">
        <v>17</v>
      </c>
      <c r="G30" s="149">
        <v>645</v>
      </c>
      <c r="H30" s="535">
        <v>693</v>
      </c>
      <c r="I30" s="149">
        <v>509</v>
      </c>
      <c r="J30" s="535">
        <v>460</v>
      </c>
      <c r="K30" s="535">
        <v>582</v>
      </c>
    </row>
    <row r="31" spans="1:11" ht="17.25" customHeight="1">
      <c r="A31" s="523" t="s">
        <v>545</v>
      </c>
      <c r="B31" s="1213">
        <v>95</v>
      </c>
      <c r="C31" s="148">
        <v>109</v>
      </c>
      <c r="D31" s="1213">
        <v>230</v>
      </c>
      <c r="E31" s="535">
        <v>122</v>
      </c>
      <c r="F31" s="535">
        <v>164</v>
      </c>
      <c r="G31" s="414">
        <v>795</v>
      </c>
      <c r="H31" s="535">
        <v>1118</v>
      </c>
      <c r="I31" s="414">
        <v>1603</v>
      </c>
      <c r="J31" s="535">
        <v>1821</v>
      </c>
      <c r="K31" s="535">
        <v>2352</v>
      </c>
    </row>
    <row r="32" spans="1:11" ht="15" customHeight="1">
      <c r="A32" s="230" t="s">
        <v>300</v>
      </c>
      <c r="B32" s="166">
        <f>SUM(B23:B31)</f>
        <v>155</v>
      </c>
      <c r="C32" s="165">
        <f>SUM(C23:C31)</f>
        <v>172</v>
      </c>
      <c r="D32" s="230">
        <f>SUM(D23:D31)</f>
        <v>276</v>
      </c>
      <c r="E32" s="230">
        <f>SUM(E23:E31)</f>
        <v>181</v>
      </c>
      <c r="F32" s="230">
        <f>SUM(F23:F31)</f>
        <v>229</v>
      </c>
      <c r="G32" s="166">
        <v>1866</v>
      </c>
      <c r="H32" s="166">
        <v>2370</v>
      </c>
      <c r="I32" s="166">
        <v>2477</v>
      </c>
      <c r="J32" s="166">
        <v>2644</v>
      </c>
      <c r="K32" s="166">
        <f>SUM(K23:K31)</f>
        <v>3358</v>
      </c>
    </row>
    <row r="33" spans="2:11">
      <c r="B33" s="296"/>
      <c r="C33" s="296"/>
      <c r="D33" s="296"/>
      <c r="E33" s="296"/>
      <c r="F33" s="296"/>
      <c r="H33" s="296"/>
      <c r="I33" s="296"/>
      <c r="J33" s="296"/>
      <c r="K33" s="858" t="str">
        <f>CONCATENATE("Source : Superintendent of Police, ",District!$A$1)</f>
        <v>Source : Superintendent of Police, Jalpaiguri</v>
      </c>
    </row>
  </sheetData>
  <mergeCells count="9">
    <mergeCell ref="A1:K1"/>
    <mergeCell ref="B20:F20"/>
    <mergeCell ref="G20:K20"/>
    <mergeCell ref="A20:A21"/>
    <mergeCell ref="A18:K18"/>
    <mergeCell ref="A2:K2"/>
    <mergeCell ref="A4:A5"/>
    <mergeCell ref="B4:F4"/>
    <mergeCell ref="G4:K4"/>
  </mergeCells>
  <phoneticPr fontId="0" type="noConversion"/>
  <conditionalFormatting sqref="A1:XFD1048576">
    <cfRule type="cellIs" dxfId="1" priority="1" stopIfTrue="1" operator="equal">
      <formula>".."</formula>
    </cfRule>
  </conditionalFormatting>
  <printOptions horizontalCentered="1"/>
  <pageMargins left="0.1" right="0.1" top="0.62" bottom="0.1" header="0.33" footer="0.1"/>
  <pageSetup paperSize="9" scale="98" orientation="landscape" blackAndWhite="1" r:id="rId1"/>
  <headerFooter alignWithMargins="0"/>
</worksheet>
</file>

<file path=xl/worksheets/sheet68.xml><?xml version="1.0" encoding="utf-8"?>
<worksheet xmlns="http://schemas.openxmlformats.org/spreadsheetml/2006/main" xmlns:r="http://schemas.openxmlformats.org/officeDocument/2006/relationships">
  <sheetPr codeName="Sheet73"/>
  <dimension ref="A1:L32"/>
  <sheetViews>
    <sheetView topLeftCell="A10" workbookViewId="0">
      <selection activeCell="C16" sqref="C16:L16"/>
    </sheetView>
  </sheetViews>
  <sheetFormatPr defaultRowHeight="12.75"/>
  <cols>
    <col min="1" max="1" width="3.5703125" customWidth="1"/>
    <col min="2" max="2" width="19.140625" customWidth="1"/>
    <col min="3" max="12" width="10.7109375" customWidth="1"/>
  </cols>
  <sheetData>
    <row r="1" spans="1:12">
      <c r="B1" s="1286" t="s">
        <v>485</v>
      </c>
      <c r="C1" s="1286"/>
      <c r="D1" s="1286"/>
      <c r="E1" s="1286"/>
      <c r="F1" s="1286"/>
      <c r="G1" s="1286"/>
      <c r="H1" s="1286"/>
      <c r="I1" s="1286"/>
      <c r="J1" s="1286"/>
      <c r="K1" s="1286"/>
      <c r="L1" s="1286"/>
    </row>
    <row r="2" spans="1:12" ht="16.5">
      <c r="B2" s="1287" t="str">
        <f>CONCATENATE("Police Stations and Out-posts in different Sub-divisions in the district of ",District!$A$1)</f>
        <v>Police Stations and Out-posts in different Sub-divisions in the district of Jalpaiguri</v>
      </c>
      <c r="C2" s="1287"/>
      <c r="D2" s="1287"/>
      <c r="E2" s="1287"/>
      <c r="F2" s="1287"/>
      <c r="G2" s="1287"/>
      <c r="H2" s="1287"/>
      <c r="I2" s="1287"/>
      <c r="J2" s="1287"/>
      <c r="K2" s="1287"/>
      <c r="L2" s="1287"/>
    </row>
    <row r="3" spans="1:12" ht="12" customHeight="1">
      <c r="B3" s="359"/>
      <c r="C3" s="511"/>
      <c r="D3" s="511"/>
      <c r="E3" s="31"/>
      <c r="F3" s="24"/>
      <c r="G3" s="24"/>
      <c r="H3" s="181"/>
      <c r="I3" s="181"/>
      <c r="J3" s="181"/>
      <c r="K3" s="181"/>
      <c r="L3" s="1079" t="s">
        <v>312</v>
      </c>
    </row>
    <row r="4" spans="1:12" ht="15" customHeight="1">
      <c r="A4" s="1438" t="s">
        <v>1004</v>
      </c>
      <c r="B4" s="1846"/>
      <c r="C4" s="1442" t="s">
        <v>1043</v>
      </c>
      <c r="D4" s="1596"/>
      <c r="E4" s="1596"/>
      <c r="F4" s="1596"/>
      <c r="G4" s="1596"/>
      <c r="H4" s="1630" t="s">
        <v>1044</v>
      </c>
      <c r="I4" s="1636"/>
      <c r="J4" s="1636"/>
      <c r="K4" s="1636"/>
      <c r="L4" s="1631"/>
    </row>
    <row r="5" spans="1:12" ht="15" customHeight="1">
      <c r="A5" s="1432"/>
      <c r="B5" s="1847"/>
      <c r="C5" s="758">
        <v>2010</v>
      </c>
      <c r="D5" s="759">
        <v>2011</v>
      </c>
      <c r="E5" s="758">
        <v>2012</v>
      </c>
      <c r="F5" s="759">
        <v>2013</v>
      </c>
      <c r="G5" s="759">
        <v>2014</v>
      </c>
      <c r="H5" s="758">
        <v>2010</v>
      </c>
      <c r="I5" s="759">
        <v>2011</v>
      </c>
      <c r="J5" s="758">
        <v>2012</v>
      </c>
      <c r="K5" s="759">
        <v>2013</v>
      </c>
      <c r="L5" s="759">
        <v>2014</v>
      </c>
    </row>
    <row r="6" spans="1:12" ht="15" customHeight="1">
      <c r="A6" s="1385" t="s">
        <v>278</v>
      </c>
      <c r="B6" s="1386"/>
      <c r="C6" s="92" t="s">
        <v>279</v>
      </c>
      <c r="D6" s="57" t="s">
        <v>280</v>
      </c>
      <c r="E6" s="60" t="s">
        <v>281</v>
      </c>
      <c r="F6" s="57" t="s">
        <v>282</v>
      </c>
      <c r="G6" s="87" t="s">
        <v>283</v>
      </c>
      <c r="H6" s="92" t="s">
        <v>284</v>
      </c>
      <c r="I6" s="57" t="s">
        <v>301</v>
      </c>
      <c r="J6" s="87" t="s">
        <v>302</v>
      </c>
      <c r="K6" s="92" t="s">
        <v>303</v>
      </c>
      <c r="L6" s="57" t="s">
        <v>304</v>
      </c>
    </row>
    <row r="7" spans="1:12" ht="19.5" customHeight="1">
      <c r="A7" s="1609" t="s">
        <v>747</v>
      </c>
      <c r="B7" s="1610"/>
      <c r="C7" s="292">
        <v>6</v>
      </c>
      <c r="D7" s="292">
        <v>6</v>
      </c>
      <c r="E7" s="349">
        <v>6</v>
      </c>
      <c r="F7" s="349">
        <v>6</v>
      </c>
      <c r="G7" s="686">
        <v>6</v>
      </c>
      <c r="H7" s="292">
        <v>4</v>
      </c>
      <c r="I7" s="740">
        <v>4</v>
      </c>
      <c r="J7" s="740">
        <v>4</v>
      </c>
      <c r="K7" s="169">
        <v>3</v>
      </c>
      <c r="L7" s="49">
        <v>3</v>
      </c>
    </row>
    <row r="8" spans="1:12" ht="19.5" customHeight="1">
      <c r="A8" s="1609" t="s">
        <v>730</v>
      </c>
      <c r="B8" s="1610"/>
      <c r="C8" s="147">
        <v>3</v>
      </c>
      <c r="D8" s="147">
        <v>3</v>
      </c>
      <c r="E8" s="291">
        <v>3</v>
      </c>
      <c r="F8" s="291">
        <v>3</v>
      </c>
      <c r="G8" s="148">
        <v>3</v>
      </c>
      <c r="H8" s="147">
        <v>1</v>
      </c>
      <c r="I8" s="169">
        <v>1</v>
      </c>
      <c r="J8" s="169">
        <v>1</v>
      </c>
      <c r="K8" s="169">
        <v>1</v>
      </c>
      <c r="L8" s="52">
        <v>1</v>
      </c>
    </row>
    <row r="9" spans="1:12" ht="19.5" customHeight="1">
      <c r="A9" s="1609" t="s">
        <v>558</v>
      </c>
      <c r="B9" s="1610"/>
      <c r="C9" s="276">
        <v>8</v>
      </c>
      <c r="D9" s="276">
        <v>8</v>
      </c>
      <c r="E9" s="496">
        <v>8</v>
      </c>
      <c r="F9" s="291">
        <v>8</v>
      </c>
      <c r="G9" s="148">
        <v>8</v>
      </c>
      <c r="H9" s="276">
        <v>5</v>
      </c>
      <c r="I9" s="44">
        <v>5</v>
      </c>
      <c r="J9" s="44">
        <v>5</v>
      </c>
      <c r="K9" s="169">
        <v>5</v>
      </c>
      <c r="L9" s="155">
        <v>5</v>
      </c>
    </row>
    <row r="10" spans="1:12" ht="17.25" customHeight="1">
      <c r="A10" s="1305" t="s">
        <v>1468</v>
      </c>
      <c r="B10" s="1306"/>
      <c r="C10" s="166">
        <f t="shared" ref="C10:L10" si="0">SUM(C7:C9)</f>
        <v>17</v>
      </c>
      <c r="D10" s="166">
        <f t="shared" si="0"/>
        <v>17</v>
      </c>
      <c r="E10" s="166">
        <f t="shared" si="0"/>
        <v>17</v>
      </c>
      <c r="F10" s="230">
        <f t="shared" si="0"/>
        <v>17</v>
      </c>
      <c r="G10" s="165">
        <f t="shared" si="0"/>
        <v>17</v>
      </c>
      <c r="H10" s="164">
        <f t="shared" si="0"/>
        <v>10</v>
      </c>
      <c r="I10" s="164">
        <f t="shared" si="0"/>
        <v>10</v>
      </c>
      <c r="J10" s="164">
        <f t="shared" si="0"/>
        <v>10</v>
      </c>
      <c r="K10" s="164">
        <f t="shared" si="0"/>
        <v>9</v>
      </c>
      <c r="L10" s="230">
        <f t="shared" si="0"/>
        <v>9</v>
      </c>
    </row>
    <row r="11" spans="1:12">
      <c r="B11" s="516"/>
      <c r="C11" s="392"/>
      <c r="D11" s="524"/>
      <c r="E11" s="392"/>
      <c r="F11" s="359"/>
      <c r="G11" s="359"/>
      <c r="H11" s="359"/>
      <c r="I11" s="359"/>
      <c r="J11" s="359"/>
      <c r="K11" s="359"/>
      <c r="L11" s="858" t="str">
        <f>CONCATENATE("Source : Superintendent of Police, ",District!$A$1)</f>
        <v>Source : Superintendent of Police, Jalpaiguri</v>
      </c>
    </row>
    <row r="12" spans="1:12">
      <c r="B12" s="516"/>
      <c r="C12" s="392"/>
      <c r="D12" s="524"/>
      <c r="E12" s="392"/>
      <c r="F12" s="359"/>
      <c r="G12" s="359"/>
      <c r="H12" s="359"/>
      <c r="I12" s="359"/>
      <c r="J12" s="359"/>
      <c r="K12" s="359"/>
      <c r="L12" s="360"/>
    </row>
    <row r="13" spans="1:12">
      <c r="B13" s="1286" t="s">
        <v>486</v>
      </c>
      <c r="C13" s="1286"/>
      <c r="D13" s="1286"/>
      <c r="E13" s="1286"/>
      <c r="F13" s="1286"/>
      <c r="G13" s="1286"/>
      <c r="H13" s="1286"/>
      <c r="I13" s="1286"/>
      <c r="J13" s="1286"/>
      <c r="K13" s="1286"/>
      <c r="L13" s="1286"/>
    </row>
    <row r="14" spans="1:12" ht="16.5">
      <c r="B14" s="1311" t="str">
        <f>CONCATENATE("Strength of Police Force by category in the district of ",District!$A$1)</f>
        <v>Strength of Police Force by category in the district of Jalpaiguri</v>
      </c>
      <c r="C14" s="1311"/>
      <c r="D14" s="1311"/>
      <c r="E14" s="1311"/>
      <c r="F14" s="1311"/>
      <c r="G14" s="1311"/>
      <c r="H14" s="1311"/>
      <c r="I14" s="1311"/>
      <c r="J14" s="1311"/>
      <c r="K14" s="1311"/>
      <c r="L14" s="1311"/>
    </row>
    <row r="15" spans="1:12" ht="12" customHeight="1">
      <c r="B15" s="359"/>
      <c r="C15" s="359"/>
      <c r="D15" s="511"/>
      <c r="E15" s="511"/>
      <c r="F15" s="511"/>
      <c r="L15" s="1079" t="s">
        <v>312</v>
      </c>
    </row>
    <row r="16" spans="1:12" ht="15.75" customHeight="1">
      <c r="A16" s="1379" t="s">
        <v>915</v>
      </c>
      <c r="B16" s="1294"/>
      <c r="C16" s="1283" t="s">
        <v>98</v>
      </c>
      <c r="D16" s="1283"/>
      <c r="E16" s="1283"/>
      <c r="F16" s="1283"/>
      <c r="G16" s="1283"/>
      <c r="H16" s="1283"/>
      <c r="I16" s="1283"/>
      <c r="J16" s="1283"/>
      <c r="K16" s="1283"/>
      <c r="L16" s="1790"/>
    </row>
    <row r="17" spans="1:12" ht="15.75" customHeight="1">
      <c r="A17" s="1503"/>
      <c r="B17" s="1505"/>
      <c r="C17" s="1848">
        <v>2010</v>
      </c>
      <c r="D17" s="1849"/>
      <c r="E17" s="1848">
        <v>2011</v>
      </c>
      <c r="F17" s="1849"/>
      <c r="G17" s="1850">
        <v>2012</v>
      </c>
      <c r="H17" s="1850"/>
      <c r="I17" s="1848">
        <v>2013</v>
      </c>
      <c r="J17" s="1849"/>
      <c r="K17" s="1848">
        <v>2014</v>
      </c>
      <c r="L17" s="1849"/>
    </row>
    <row r="18" spans="1:12" ht="15.75" customHeight="1">
      <c r="A18" s="1385" t="s">
        <v>278</v>
      </c>
      <c r="B18" s="1386"/>
      <c r="C18" s="1424" t="s">
        <v>279</v>
      </c>
      <c r="D18" s="1424"/>
      <c r="E18" s="1385" t="s">
        <v>280</v>
      </c>
      <c r="F18" s="1386"/>
      <c r="G18" s="1851" t="s">
        <v>281</v>
      </c>
      <c r="H18" s="1851"/>
      <c r="I18" s="1385" t="s">
        <v>282</v>
      </c>
      <c r="J18" s="1386"/>
      <c r="K18" s="1385" t="s">
        <v>283</v>
      </c>
      <c r="L18" s="1386"/>
    </row>
    <row r="19" spans="1:12" ht="18" customHeight="1">
      <c r="A19" s="1611" t="s">
        <v>6</v>
      </c>
      <c r="B19" s="1612"/>
      <c r="C19" s="1594">
        <v>1</v>
      </c>
      <c r="D19" s="1595"/>
      <c r="E19" s="1594">
        <v>1</v>
      </c>
      <c r="F19" s="1595"/>
      <c r="G19" s="1594">
        <v>1</v>
      </c>
      <c r="H19" s="1595"/>
      <c r="I19" s="1594">
        <v>1</v>
      </c>
      <c r="J19" s="1595"/>
      <c r="K19" s="1594">
        <v>2</v>
      </c>
      <c r="L19" s="1595"/>
    </row>
    <row r="20" spans="1:12" ht="18" customHeight="1">
      <c r="A20" s="1609" t="s">
        <v>702</v>
      </c>
      <c r="B20" s="1610"/>
      <c r="C20" s="1838">
        <v>2</v>
      </c>
      <c r="D20" s="1839"/>
      <c r="E20" s="1838">
        <v>2</v>
      </c>
      <c r="F20" s="1839"/>
      <c r="G20" s="1838">
        <v>2</v>
      </c>
      <c r="H20" s="1839"/>
      <c r="I20" s="1838">
        <v>2</v>
      </c>
      <c r="J20" s="1839"/>
      <c r="K20" s="1838">
        <v>2</v>
      </c>
      <c r="L20" s="1839"/>
    </row>
    <row r="21" spans="1:12" ht="18" customHeight="1">
      <c r="A21" s="1609" t="s">
        <v>703</v>
      </c>
      <c r="B21" s="1610"/>
      <c r="C21" s="1838">
        <v>5</v>
      </c>
      <c r="D21" s="1839"/>
      <c r="E21" s="1838">
        <v>4</v>
      </c>
      <c r="F21" s="1839"/>
      <c r="G21" s="1838">
        <v>4</v>
      </c>
      <c r="H21" s="1839"/>
      <c r="I21" s="1838">
        <v>3</v>
      </c>
      <c r="J21" s="1839"/>
      <c r="K21" s="1838">
        <v>3</v>
      </c>
      <c r="L21" s="1839"/>
    </row>
    <row r="22" spans="1:12" ht="18" customHeight="1">
      <c r="A22" s="1840" t="s">
        <v>1270</v>
      </c>
      <c r="B22" s="1841"/>
      <c r="C22" s="1838">
        <v>2</v>
      </c>
      <c r="D22" s="1839"/>
      <c r="E22" s="1838">
        <v>2</v>
      </c>
      <c r="F22" s="1839"/>
      <c r="G22" s="1838">
        <v>2</v>
      </c>
      <c r="H22" s="1839"/>
      <c r="I22" s="1838">
        <v>2</v>
      </c>
      <c r="J22" s="1839"/>
      <c r="K22" s="1838">
        <v>3</v>
      </c>
      <c r="L22" s="1839"/>
    </row>
    <row r="23" spans="1:12" ht="18" customHeight="1">
      <c r="A23" s="1840" t="s">
        <v>1271</v>
      </c>
      <c r="B23" s="1841"/>
      <c r="C23" s="1838">
        <v>26</v>
      </c>
      <c r="D23" s="1839"/>
      <c r="E23" s="1838">
        <v>22</v>
      </c>
      <c r="F23" s="1839"/>
      <c r="G23" s="1838">
        <v>20</v>
      </c>
      <c r="H23" s="1839"/>
      <c r="I23" s="1838">
        <v>21</v>
      </c>
      <c r="J23" s="1839"/>
      <c r="K23" s="1838">
        <v>21</v>
      </c>
      <c r="L23" s="1839"/>
    </row>
    <row r="24" spans="1:12" ht="18" customHeight="1">
      <c r="A24" s="1840" t="s">
        <v>1272</v>
      </c>
      <c r="B24" s="1841"/>
      <c r="C24" s="1838">
        <v>126</v>
      </c>
      <c r="D24" s="1839"/>
      <c r="E24" s="1838">
        <v>126</v>
      </c>
      <c r="F24" s="1839"/>
      <c r="G24" s="1838">
        <v>145</v>
      </c>
      <c r="H24" s="1839"/>
      <c r="I24" s="1838">
        <v>137</v>
      </c>
      <c r="J24" s="1839"/>
      <c r="K24" s="1838">
        <v>154</v>
      </c>
      <c r="L24" s="1839"/>
    </row>
    <row r="25" spans="1:12" ht="18" customHeight="1">
      <c r="A25" s="1609" t="s">
        <v>748</v>
      </c>
      <c r="B25" s="1610"/>
      <c r="C25" s="1586">
        <v>11</v>
      </c>
      <c r="D25" s="1587"/>
      <c r="E25" s="1586">
        <v>14</v>
      </c>
      <c r="F25" s="1587"/>
      <c r="G25" s="1586" t="s">
        <v>570</v>
      </c>
      <c r="H25" s="1587"/>
      <c r="I25" s="1586">
        <v>10</v>
      </c>
      <c r="J25" s="1587"/>
      <c r="K25" s="1586">
        <v>3</v>
      </c>
      <c r="L25" s="1587"/>
    </row>
    <row r="26" spans="1:12" ht="18" customHeight="1">
      <c r="A26" s="1840" t="s">
        <v>1273</v>
      </c>
      <c r="B26" s="1841"/>
      <c r="C26" s="1838" t="s">
        <v>570</v>
      </c>
      <c r="D26" s="1839"/>
      <c r="E26" s="1838" t="s">
        <v>570</v>
      </c>
      <c r="F26" s="1839"/>
      <c r="G26" s="1838" t="s">
        <v>570</v>
      </c>
      <c r="H26" s="1839"/>
      <c r="I26" s="1838" t="s">
        <v>570</v>
      </c>
      <c r="J26" s="1839"/>
      <c r="K26" s="1838" t="s">
        <v>570</v>
      </c>
      <c r="L26" s="1839"/>
    </row>
    <row r="27" spans="1:12" ht="18" customHeight="1">
      <c r="A27" s="1609" t="s">
        <v>704</v>
      </c>
      <c r="B27" s="1610"/>
      <c r="C27" s="1844">
        <v>276</v>
      </c>
      <c r="D27" s="1845"/>
      <c r="E27" s="1844">
        <v>275</v>
      </c>
      <c r="F27" s="1845"/>
      <c r="G27" s="1844">
        <v>239</v>
      </c>
      <c r="H27" s="1845"/>
      <c r="I27" s="1844">
        <v>286</v>
      </c>
      <c r="J27" s="1845"/>
      <c r="K27" s="1844">
        <v>259</v>
      </c>
      <c r="L27" s="1845"/>
    </row>
    <row r="28" spans="1:12" ht="25.5" customHeight="1">
      <c r="A28" s="1840" t="s">
        <v>260</v>
      </c>
      <c r="B28" s="1841"/>
      <c r="C28" s="1600" t="s">
        <v>570</v>
      </c>
      <c r="D28" s="1601"/>
      <c r="E28" s="1600" t="s">
        <v>570</v>
      </c>
      <c r="F28" s="1601"/>
      <c r="G28" s="1600" t="s">
        <v>570</v>
      </c>
      <c r="H28" s="1601"/>
      <c r="I28" s="1600" t="s">
        <v>570</v>
      </c>
      <c r="J28" s="1601"/>
      <c r="K28" s="1600" t="s">
        <v>570</v>
      </c>
      <c r="L28" s="1601"/>
    </row>
    <row r="29" spans="1:12" ht="18" customHeight="1">
      <c r="A29" s="1840" t="s">
        <v>1274</v>
      </c>
      <c r="B29" s="1841"/>
      <c r="C29" s="1844">
        <v>1</v>
      </c>
      <c r="D29" s="1845"/>
      <c r="E29" s="1844" t="s">
        <v>570</v>
      </c>
      <c r="F29" s="1845"/>
      <c r="G29" s="1844" t="s">
        <v>570</v>
      </c>
      <c r="H29" s="1845"/>
      <c r="I29" s="1844" t="s">
        <v>570</v>
      </c>
      <c r="J29" s="1845"/>
      <c r="K29" s="1844" t="s">
        <v>570</v>
      </c>
      <c r="L29" s="1845"/>
    </row>
    <row r="30" spans="1:12" ht="18" customHeight="1">
      <c r="A30" s="1842" t="s">
        <v>669</v>
      </c>
      <c r="B30" s="1843"/>
      <c r="C30" s="1589">
        <v>1247</v>
      </c>
      <c r="D30" s="1590"/>
      <c r="E30" s="1589">
        <v>1315</v>
      </c>
      <c r="F30" s="1590"/>
      <c r="G30" s="1589">
        <v>1286</v>
      </c>
      <c r="H30" s="1590"/>
      <c r="I30" s="1589">
        <v>1352</v>
      </c>
      <c r="J30" s="1590"/>
      <c r="K30" s="1589">
        <v>1387</v>
      </c>
      <c r="L30" s="1590"/>
    </row>
    <row r="31" spans="1:12" ht="16.5" customHeight="1">
      <c r="A31" s="1305" t="s">
        <v>300</v>
      </c>
      <c r="B31" s="1306"/>
      <c r="C31" s="1305">
        <f>SUM(C19:C30)</f>
        <v>1697</v>
      </c>
      <c r="D31" s="1306"/>
      <c r="E31" s="1305">
        <f>SUM(E19:E30)</f>
        <v>1761</v>
      </c>
      <c r="F31" s="1306"/>
      <c r="G31" s="1305">
        <f>SUM(G19:G30)</f>
        <v>1699</v>
      </c>
      <c r="H31" s="1306"/>
      <c r="I31" s="1305">
        <f>SUM(I19:I30)</f>
        <v>1814</v>
      </c>
      <c r="J31" s="1306"/>
      <c r="K31" s="1305">
        <f>SUM(K19:K30)</f>
        <v>1834</v>
      </c>
      <c r="L31" s="1306"/>
    </row>
    <row r="32" spans="1:12">
      <c r="L32" s="858" t="str">
        <f>CONCATENATE("Source : Superintendent of Police, ",District!$A$1)</f>
        <v>Source : Superintendent of Police, Jalpaiguri</v>
      </c>
    </row>
  </sheetData>
  <mergeCells count="103">
    <mergeCell ref="K18:L18"/>
    <mergeCell ref="G21:H21"/>
    <mergeCell ref="C22:D22"/>
    <mergeCell ref="K19:L19"/>
    <mergeCell ref="K20:L20"/>
    <mergeCell ref="K21:L21"/>
    <mergeCell ref="E18:F18"/>
    <mergeCell ref="K22:L22"/>
    <mergeCell ref="I21:J21"/>
    <mergeCell ref="G18:H18"/>
    <mergeCell ref="B1:L1"/>
    <mergeCell ref="B2:L2"/>
    <mergeCell ref="H4:L4"/>
    <mergeCell ref="A7:B7"/>
    <mergeCell ref="A4:B5"/>
    <mergeCell ref="A6:B6"/>
    <mergeCell ref="K17:L17"/>
    <mergeCell ref="A8:B8"/>
    <mergeCell ref="A9:B9"/>
    <mergeCell ref="B13:L13"/>
    <mergeCell ref="B14:L14"/>
    <mergeCell ref="C4:G4"/>
    <mergeCell ref="G17:H17"/>
    <mergeCell ref="I17:J17"/>
    <mergeCell ref="A10:B10"/>
    <mergeCell ref="A16:B17"/>
    <mergeCell ref="C17:D17"/>
    <mergeCell ref="E17:F17"/>
    <mergeCell ref="C16:L16"/>
    <mergeCell ref="K24:L24"/>
    <mergeCell ref="G31:H31"/>
    <mergeCell ref="K30:L30"/>
    <mergeCell ref="K25:L25"/>
    <mergeCell ref="K26:L26"/>
    <mergeCell ref="K29:L29"/>
    <mergeCell ref="K27:L27"/>
    <mergeCell ref="K28:L28"/>
    <mergeCell ref="E22:F22"/>
    <mergeCell ref="G22:H22"/>
    <mergeCell ref="G24:H24"/>
    <mergeCell ref="K31:L31"/>
    <mergeCell ref="E27:F27"/>
    <mergeCell ref="G27:H27"/>
    <mergeCell ref="I27:J27"/>
    <mergeCell ref="E30:F30"/>
    <mergeCell ref="G30:H30"/>
    <mergeCell ref="I30:J30"/>
    <mergeCell ref="I31:J31"/>
    <mergeCell ref="I23:J23"/>
    <mergeCell ref="G25:H25"/>
    <mergeCell ref="I25:J25"/>
    <mergeCell ref="K23:L23"/>
    <mergeCell ref="I24:J24"/>
    <mergeCell ref="A18:B18"/>
    <mergeCell ref="I22:J22"/>
    <mergeCell ref="E23:F23"/>
    <mergeCell ref="G23:H23"/>
    <mergeCell ref="C23:D23"/>
    <mergeCell ref="A19:B19"/>
    <mergeCell ref="A22:B22"/>
    <mergeCell ref="G20:H20"/>
    <mergeCell ref="I20:J20"/>
    <mergeCell ref="C21:D21"/>
    <mergeCell ref="E21:F21"/>
    <mergeCell ref="A23:B23"/>
    <mergeCell ref="A20:B20"/>
    <mergeCell ref="A21:B21"/>
    <mergeCell ref="I18:J18"/>
    <mergeCell ref="C18:D18"/>
    <mergeCell ref="C19:D19"/>
    <mergeCell ref="E19:F19"/>
    <mergeCell ref="G19:H19"/>
    <mergeCell ref="I19:J19"/>
    <mergeCell ref="C20:D20"/>
    <mergeCell ref="E20:F20"/>
    <mergeCell ref="G29:H29"/>
    <mergeCell ref="I29:J29"/>
    <mergeCell ref="C28:D28"/>
    <mergeCell ref="E28:F28"/>
    <mergeCell ref="G28:H28"/>
    <mergeCell ref="I28:J28"/>
    <mergeCell ref="C26:D26"/>
    <mergeCell ref="E26:F26"/>
    <mergeCell ref="C27:D27"/>
    <mergeCell ref="G26:H26"/>
    <mergeCell ref="I26:J26"/>
    <mergeCell ref="E31:F31"/>
    <mergeCell ref="C24:D24"/>
    <mergeCell ref="E24:F24"/>
    <mergeCell ref="A24:B24"/>
    <mergeCell ref="A29:B29"/>
    <mergeCell ref="A30:B30"/>
    <mergeCell ref="A31:B31"/>
    <mergeCell ref="A27:B27"/>
    <mergeCell ref="A28:B28"/>
    <mergeCell ref="C30:D30"/>
    <mergeCell ref="C31:D31"/>
    <mergeCell ref="C25:D25"/>
    <mergeCell ref="C29:D29"/>
    <mergeCell ref="E29:F29"/>
    <mergeCell ref="A26:B26"/>
    <mergeCell ref="E25:F25"/>
    <mergeCell ref="A25:B25"/>
  </mergeCells>
  <phoneticPr fontId="0" type="noConversion"/>
  <printOptions horizontalCentered="1"/>
  <pageMargins left="0.1" right="0.1" top="0.5" bottom="0.14000000000000001" header="0.5" footer="0.14000000000000001"/>
  <pageSetup paperSize="9" orientation="landscape" blackAndWhite="1" r:id="rId1"/>
  <headerFooter alignWithMargins="0"/>
</worksheet>
</file>

<file path=xl/worksheets/sheet69.xml><?xml version="1.0" encoding="utf-8"?>
<worksheet xmlns="http://schemas.openxmlformats.org/spreadsheetml/2006/main" xmlns:r="http://schemas.openxmlformats.org/officeDocument/2006/relationships">
  <sheetPr codeName="Sheet74"/>
  <dimension ref="A1:N25"/>
  <sheetViews>
    <sheetView topLeftCell="A13" workbookViewId="0">
      <selection activeCell="M9" sqref="M9"/>
    </sheetView>
  </sheetViews>
  <sheetFormatPr defaultRowHeight="12.75"/>
  <cols>
    <col min="1" max="1" width="16.7109375" customWidth="1"/>
    <col min="2" max="2" width="12.7109375" customWidth="1"/>
    <col min="3" max="3" width="9.42578125" customWidth="1"/>
    <col min="4" max="4" width="8.7109375" customWidth="1"/>
    <col min="5" max="5" width="10.7109375" customWidth="1"/>
    <col min="6" max="6" width="8.7109375" customWidth="1"/>
    <col min="7" max="7" width="10.7109375" customWidth="1"/>
    <col min="8" max="8" width="8.7109375" customWidth="1"/>
    <col min="9" max="9" width="10.7109375" customWidth="1"/>
    <col min="10" max="10" width="8.7109375" customWidth="1"/>
    <col min="11" max="11" width="10.7109375" customWidth="1"/>
    <col min="12" max="12" width="10.140625" customWidth="1"/>
    <col min="13" max="13" width="10.7109375" customWidth="1"/>
  </cols>
  <sheetData>
    <row r="1" spans="1:13" ht="21.75" customHeight="1">
      <c r="A1" s="1393" t="s">
        <v>487</v>
      </c>
      <c r="B1" s="1393"/>
      <c r="C1" s="1393"/>
      <c r="D1" s="1393"/>
      <c r="E1" s="1393"/>
      <c r="F1" s="1393"/>
      <c r="G1" s="1393"/>
      <c r="H1" s="1393"/>
      <c r="I1" s="1393"/>
      <c r="J1" s="1393"/>
      <c r="K1" s="1393"/>
      <c r="L1" s="1393"/>
      <c r="M1" s="1393"/>
    </row>
    <row r="2" spans="1:13" ht="15.75" customHeight="1">
      <c r="A2" s="1287" t="str">
        <f>CONCATENATE("Population, Receipt &amp; Expenditure of Municipalities  in the district of ",District!$A$1)</f>
        <v>Population, Receipt &amp; Expenditure of Municipalities  in the district of Jalpaiguri</v>
      </c>
      <c r="B2" s="1287"/>
      <c r="C2" s="1287"/>
      <c r="D2" s="1287"/>
      <c r="E2" s="1287"/>
      <c r="F2" s="1287"/>
      <c r="G2" s="1287"/>
      <c r="H2" s="1287"/>
      <c r="I2" s="1287"/>
      <c r="J2" s="1287"/>
      <c r="K2" s="1287"/>
      <c r="L2" s="1287"/>
      <c r="M2" s="1287"/>
    </row>
    <row r="3" spans="1:13" ht="18" customHeight="1">
      <c r="B3" s="4"/>
      <c r="C3" s="4"/>
      <c r="D3" s="4"/>
      <c r="E3" s="4"/>
      <c r="F3" s="4"/>
      <c r="G3" s="4"/>
      <c r="H3" s="4"/>
      <c r="I3" s="4"/>
      <c r="J3" s="7"/>
      <c r="K3" s="7"/>
      <c r="L3" s="1852" t="s">
        <v>1403</v>
      </c>
      <c r="M3" s="1852"/>
    </row>
    <row r="4" spans="1:13" ht="18" customHeight="1">
      <c r="A4" s="1299" t="s">
        <v>5</v>
      </c>
      <c r="B4" s="1380" t="s">
        <v>1358</v>
      </c>
      <c r="C4" s="1380" t="s">
        <v>1442</v>
      </c>
      <c r="D4" s="1290" t="s">
        <v>1110</v>
      </c>
      <c r="E4" s="1292"/>
      <c r="F4" s="1290" t="s">
        <v>1111</v>
      </c>
      <c r="G4" s="1292"/>
      <c r="H4" s="1290" t="s">
        <v>641</v>
      </c>
      <c r="I4" s="1292"/>
      <c r="J4" s="1290" t="s">
        <v>909</v>
      </c>
      <c r="K4" s="1292"/>
      <c r="L4" s="1290" t="s">
        <v>895</v>
      </c>
      <c r="M4" s="1292"/>
    </row>
    <row r="5" spans="1:13" ht="18" customHeight="1">
      <c r="A5" s="1302"/>
      <c r="B5" s="1431"/>
      <c r="C5" s="1431"/>
      <c r="D5" s="406" t="s">
        <v>916</v>
      </c>
      <c r="E5" s="371" t="s">
        <v>1060</v>
      </c>
      <c r="F5" s="406" t="s">
        <v>916</v>
      </c>
      <c r="G5" s="637" t="s">
        <v>1060</v>
      </c>
      <c r="H5" s="641" t="s">
        <v>916</v>
      </c>
      <c r="I5" s="406" t="s">
        <v>1060</v>
      </c>
      <c r="J5" s="406" t="s">
        <v>916</v>
      </c>
      <c r="K5" s="637" t="s">
        <v>1060</v>
      </c>
      <c r="L5" s="641" t="s">
        <v>916</v>
      </c>
      <c r="M5" s="406" t="s">
        <v>1060</v>
      </c>
    </row>
    <row r="6" spans="1:13" ht="21" customHeight="1">
      <c r="A6" s="57" t="s">
        <v>278</v>
      </c>
      <c r="B6" s="58" t="s">
        <v>279</v>
      </c>
      <c r="C6" s="58" t="s">
        <v>280</v>
      </c>
      <c r="D6" s="57" t="s">
        <v>281</v>
      </c>
      <c r="E6" s="58" t="s">
        <v>282</v>
      </c>
      <c r="F6" s="57" t="s">
        <v>283</v>
      </c>
      <c r="G6" s="58" t="s">
        <v>284</v>
      </c>
      <c r="H6" s="57" t="s">
        <v>301</v>
      </c>
      <c r="I6" s="58" t="s">
        <v>302</v>
      </c>
      <c r="J6" s="57" t="s">
        <v>303</v>
      </c>
      <c r="K6" s="161" t="s">
        <v>304</v>
      </c>
      <c r="L6" s="59" t="s">
        <v>344</v>
      </c>
      <c r="M6" s="60" t="s">
        <v>345</v>
      </c>
    </row>
    <row r="7" spans="1:13" ht="30" customHeight="1">
      <c r="A7" s="91" t="s">
        <v>749</v>
      </c>
      <c r="B7" s="49" t="s">
        <v>815</v>
      </c>
      <c r="C7" s="49">
        <v>107341</v>
      </c>
      <c r="D7" s="997">
        <v>166203</v>
      </c>
      <c r="E7" s="529">
        <v>47090</v>
      </c>
      <c r="F7" s="415">
        <v>203140</v>
      </c>
      <c r="G7" s="49">
        <v>209342</v>
      </c>
      <c r="H7" s="997">
        <v>274890</v>
      </c>
      <c r="I7" s="529">
        <v>136456</v>
      </c>
      <c r="J7" s="997">
        <v>207196</v>
      </c>
      <c r="K7" s="529">
        <v>192455</v>
      </c>
      <c r="L7" s="997">
        <v>240711</v>
      </c>
      <c r="M7" s="529">
        <v>290405</v>
      </c>
    </row>
    <row r="8" spans="1:13" ht="30" customHeight="1">
      <c r="A8" s="91" t="s">
        <v>750</v>
      </c>
      <c r="B8" s="52" t="s">
        <v>816</v>
      </c>
      <c r="C8" s="52">
        <v>25218</v>
      </c>
      <c r="D8" s="415">
        <v>58233</v>
      </c>
      <c r="E8" s="52">
        <v>63203</v>
      </c>
      <c r="F8" s="415">
        <v>64934</v>
      </c>
      <c r="G8" s="52">
        <v>57428</v>
      </c>
      <c r="H8" s="415">
        <v>52999</v>
      </c>
      <c r="I8" s="52">
        <v>46341</v>
      </c>
      <c r="J8" s="415">
        <v>38719</v>
      </c>
      <c r="K8" s="52">
        <v>52703</v>
      </c>
      <c r="L8" s="415">
        <v>77657</v>
      </c>
      <c r="M8" s="52">
        <v>39209</v>
      </c>
    </row>
    <row r="9" spans="1:13" ht="30" customHeight="1">
      <c r="A9" s="91" t="s">
        <v>751</v>
      </c>
      <c r="B9" s="329" t="s">
        <v>817</v>
      </c>
      <c r="C9" s="52">
        <v>65232</v>
      </c>
      <c r="D9" s="31">
        <v>99307</v>
      </c>
      <c r="E9" s="52">
        <v>71100</v>
      </c>
      <c r="F9" s="31">
        <v>117107</v>
      </c>
      <c r="G9" s="52">
        <v>103228</v>
      </c>
      <c r="H9" s="225">
        <v>103222</v>
      </c>
      <c r="I9" s="227">
        <v>109781</v>
      </c>
      <c r="J9" s="225">
        <v>108641</v>
      </c>
      <c r="K9" s="227">
        <v>110303</v>
      </c>
      <c r="L9" s="225">
        <v>160845</v>
      </c>
      <c r="M9" s="227">
        <v>128960</v>
      </c>
    </row>
    <row r="10" spans="1:13" ht="30" customHeight="1">
      <c r="A10" s="275" t="s">
        <v>814</v>
      </c>
      <c r="B10" s="330" t="s">
        <v>818</v>
      </c>
      <c r="C10" s="155">
        <v>44719</v>
      </c>
      <c r="D10" s="44">
        <v>52498</v>
      </c>
      <c r="E10" s="155">
        <v>46249</v>
      </c>
      <c r="F10" s="44">
        <v>58059</v>
      </c>
      <c r="G10" s="155">
        <v>79878</v>
      </c>
      <c r="H10" s="44">
        <v>71942</v>
      </c>
      <c r="I10" s="155">
        <v>27624</v>
      </c>
      <c r="J10" s="44">
        <v>63023</v>
      </c>
      <c r="K10" s="155">
        <v>63563</v>
      </c>
      <c r="L10" s="44">
        <v>71910</v>
      </c>
      <c r="M10" s="155">
        <v>68564</v>
      </c>
    </row>
    <row r="11" spans="1:13">
      <c r="M11" s="875" t="s">
        <v>856</v>
      </c>
    </row>
    <row r="12" spans="1:13">
      <c r="A12" s="626"/>
      <c r="B12" s="627"/>
      <c r="C12" s="627"/>
      <c r="D12" s="627"/>
      <c r="E12" s="627"/>
      <c r="F12" s="627"/>
      <c r="G12" s="627"/>
    </row>
    <row r="13" spans="1:13">
      <c r="A13" s="626"/>
      <c r="B13" s="627"/>
      <c r="C13" s="627"/>
      <c r="D13" s="627"/>
      <c r="E13" s="627"/>
      <c r="F13" s="627"/>
      <c r="G13" s="627"/>
    </row>
    <row r="14" spans="1:13">
      <c r="A14" s="626"/>
      <c r="B14" s="627"/>
      <c r="C14" s="627"/>
      <c r="D14" s="627"/>
      <c r="E14" s="627"/>
      <c r="F14" s="627"/>
      <c r="G14" s="627"/>
    </row>
    <row r="15" spans="1:13">
      <c r="A15" s="627"/>
      <c r="B15" s="627"/>
      <c r="C15" s="627"/>
      <c r="D15" s="627"/>
      <c r="E15" s="627"/>
      <c r="F15" s="627"/>
      <c r="G15" s="627"/>
    </row>
    <row r="16" spans="1:13">
      <c r="K16" s="55"/>
      <c r="L16" s="55"/>
    </row>
    <row r="17" spans="1:14">
      <c r="A17" s="1393" t="s">
        <v>488</v>
      </c>
      <c r="B17" s="1393"/>
      <c r="C17" s="1393"/>
      <c r="D17" s="1393"/>
      <c r="E17" s="1393"/>
      <c r="F17" s="1393"/>
      <c r="G17" s="1393"/>
      <c r="H17" s="1393"/>
      <c r="I17" s="1393"/>
      <c r="J17" s="1393"/>
      <c r="K17" s="1393"/>
      <c r="L17" s="1393"/>
      <c r="M17" s="1393"/>
    </row>
    <row r="18" spans="1:14" ht="16.5">
      <c r="A18" s="1394" t="str">
        <f>CONCATENATE("Receipt &amp; Expenditure of ",District!$A$1," Zilla Parishad")</f>
        <v>Receipt &amp; Expenditure of Jalpaiguri Zilla Parishad</v>
      </c>
      <c r="B18" s="1394"/>
      <c r="C18" s="1394"/>
      <c r="D18" s="1394"/>
      <c r="E18" s="1394"/>
      <c r="F18" s="1394"/>
      <c r="G18" s="1394"/>
      <c r="H18" s="1394"/>
      <c r="I18" s="1394"/>
      <c r="J18" s="1394"/>
      <c r="K18" s="1394"/>
      <c r="L18" s="1394"/>
      <c r="M18" s="1394"/>
    </row>
    <row r="19" spans="1:14">
      <c r="B19" s="4"/>
      <c r="C19" s="4"/>
      <c r="D19" s="4"/>
      <c r="E19" s="4"/>
      <c r="F19" s="4"/>
      <c r="G19" s="4"/>
      <c r="H19" s="4"/>
      <c r="I19" s="4"/>
      <c r="J19" s="4"/>
      <c r="L19" s="1852" t="s">
        <v>1403</v>
      </c>
      <c r="M19" s="1852"/>
      <c r="N19" s="7"/>
    </row>
    <row r="20" spans="1:14" ht="19.5" customHeight="1">
      <c r="A20" s="1299" t="s">
        <v>1357</v>
      </c>
      <c r="B20" s="1379" t="s">
        <v>1009</v>
      </c>
      <c r="C20" s="1425"/>
      <c r="D20" s="1290" t="s">
        <v>1110</v>
      </c>
      <c r="E20" s="1292"/>
      <c r="F20" s="1290" t="s">
        <v>1111</v>
      </c>
      <c r="G20" s="1292"/>
      <c r="H20" s="1290" t="s">
        <v>641</v>
      </c>
      <c r="I20" s="1292"/>
      <c r="J20" s="1290" t="s">
        <v>909</v>
      </c>
      <c r="K20" s="1292"/>
      <c r="L20" s="1290" t="s">
        <v>895</v>
      </c>
      <c r="M20" s="1292"/>
    </row>
    <row r="21" spans="1:14" ht="20.25" customHeight="1">
      <c r="A21" s="1398"/>
      <c r="B21" s="1426"/>
      <c r="C21" s="1427"/>
      <c r="D21" s="325" t="s">
        <v>916</v>
      </c>
      <c r="E21" s="172" t="s">
        <v>1060</v>
      </c>
      <c r="F21" s="325" t="s">
        <v>916</v>
      </c>
      <c r="G21" s="172" t="s">
        <v>1060</v>
      </c>
      <c r="H21" s="325" t="s">
        <v>916</v>
      </c>
      <c r="I21" s="172" t="s">
        <v>1060</v>
      </c>
      <c r="J21" s="325" t="s">
        <v>916</v>
      </c>
      <c r="K21" s="172" t="s">
        <v>1060</v>
      </c>
      <c r="L21" s="325" t="s">
        <v>916</v>
      </c>
      <c r="M21" s="406" t="s">
        <v>1060</v>
      </c>
    </row>
    <row r="22" spans="1:14" ht="21" customHeight="1">
      <c r="A22" s="57" t="s">
        <v>278</v>
      </c>
      <c r="B22" s="1385" t="s">
        <v>279</v>
      </c>
      <c r="C22" s="1424"/>
      <c r="D22" s="57" t="s">
        <v>280</v>
      </c>
      <c r="E22" s="58" t="s">
        <v>281</v>
      </c>
      <c r="F22" s="57" t="s">
        <v>282</v>
      </c>
      <c r="G22" s="58" t="s">
        <v>283</v>
      </c>
      <c r="H22" s="57" t="s">
        <v>284</v>
      </c>
      <c r="I22" s="58" t="s">
        <v>301</v>
      </c>
      <c r="J22" s="57" t="s">
        <v>302</v>
      </c>
      <c r="K22" s="58" t="s">
        <v>303</v>
      </c>
      <c r="L22" s="57" t="s">
        <v>304</v>
      </c>
      <c r="M22" s="60" t="s">
        <v>344</v>
      </c>
    </row>
    <row r="23" spans="1:14" ht="48" customHeight="1">
      <c r="A23" s="1125" t="s">
        <v>548</v>
      </c>
      <c r="B23" s="1589" t="s">
        <v>819</v>
      </c>
      <c r="C23" s="1588"/>
      <c r="D23" s="328">
        <v>1642191</v>
      </c>
      <c r="E23" s="34">
        <v>1697991</v>
      </c>
      <c r="F23" s="328">
        <v>1831612</v>
      </c>
      <c r="G23" s="34">
        <v>1929989</v>
      </c>
      <c r="H23" s="328">
        <v>2278614</v>
      </c>
      <c r="I23" s="34">
        <v>2294388</v>
      </c>
      <c r="J23" s="328">
        <v>2531141</v>
      </c>
      <c r="K23" s="34">
        <v>2193784</v>
      </c>
      <c r="L23" s="328">
        <v>2469360</v>
      </c>
      <c r="M23" s="34">
        <v>2309544</v>
      </c>
    </row>
    <row r="24" spans="1:14">
      <c r="A24" s="1123"/>
      <c r="B24" s="1124"/>
      <c r="M24" s="875" t="str">
        <f>CONCATENATE("Source : Zilla Parishad, ",District!$A$1)</f>
        <v>Source : Zilla Parishad, Jalpaiguri</v>
      </c>
    </row>
    <row r="25" spans="1:14">
      <c r="A25" s="601"/>
      <c r="K25" s="55"/>
      <c r="L25" s="55"/>
    </row>
  </sheetData>
  <mergeCells count="23">
    <mergeCell ref="B4:B5"/>
    <mergeCell ref="A18:M18"/>
    <mergeCell ref="A1:M1"/>
    <mergeCell ref="A2:M2"/>
    <mergeCell ref="L4:M4"/>
    <mergeCell ref="C4:C5"/>
    <mergeCell ref="L3:M3"/>
    <mergeCell ref="A4:A5"/>
    <mergeCell ref="D4:E4"/>
    <mergeCell ref="H4:I4"/>
    <mergeCell ref="J4:K4"/>
    <mergeCell ref="F4:G4"/>
    <mergeCell ref="B23:C23"/>
    <mergeCell ref="D20:E20"/>
    <mergeCell ref="A17:M17"/>
    <mergeCell ref="A20:A21"/>
    <mergeCell ref="F20:G20"/>
    <mergeCell ref="L19:M19"/>
    <mergeCell ref="B22:C22"/>
    <mergeCell ref="L20:M20"/>
    <mergeCell ref="B20:C21"/>
    <mergeCell ref="J20:K20"/>
    <mergeCell ref="H20:I20"/>
  </mergeCells>
  <phoneticPr fontId="0" type="noConversion"/>
  <printOptions horizontalCentered="1"/>
  <pageMargins left="0.1" right="0.1" top="0.75" bottom="0.1" header="0.5" footer="0.1"/>
  <pageSetup paperSize="9" orientation="landscape" blackAndWhite="1" r:id="rId1"/>
  <headerFooter alignWithMargins="0"/>
</worksheet>
</file>

<file path=xl/worksheets/sheet7.xml><?xml version="1.0" encoding="utf-8"?>
<worksheet xmlns="http://schemas.openxmlformats.org/spreadsheetml/2006/main" xmlns:r="http://schemas.openxmlformats.org/officeDocument/2006/relationships">
  <sheetPr codeName="Sheet6"/>
  <dimension ref="A1:L61"/>
  <sheetViews>
    <sheetView topLeftCell="A31" workbookViewId="0">
      <selection activeCell="H20" sqref="H20"/>
    </sheetView>
  </sheetViews>
  <sheetFormatPr defaultRowHeight="12.75"/>
  <cols>
    <col min="1" max="1" width="15.7109375" customWidth="1"/>
    <col min="2" max="11" width="10.7109375" customWidth="1"/>
  </cols>
  <sheetData>
    <row r="1" spans="1:12" ht="12" customHeight="1">
      <c r="A1" s="1286" t="s">
        <v>1423</v>
      </c>
      <c r="B1" s="1286"/>
      <c r="C1" s="1286"/>
      <c r="D1" s="1286"/>
      <c r="E1" s="1286"/>
      <c r="F1" s="1286"/>
      <c r="G1" s="1286"/>
      <c r="H1" s="1286"/>
      <c r="I1" s="1286"/>
      <c r="J1" s="1286"/>
      <c r="K1" s="1286"/>
      <c r="L1" s="602"/>
    </row>
    <row r="2" spans="1:12" ht="13.5" customHeight="1">
      <c r="A2" s="1287" t="s">
        <v>887</v>
      </c>
      <c r="B2" s="1287"/>
      <c r="C2" s="1287"/>
      <c r="D2" s="1287"/>
      <c r="E2" s="1287"/>
      <c r="F2" s="1287"/>
      <c r="G2" s="1287"/>
      <c r="H2" s="1287"/>
      <c r="I2" s="1287"/>
      <c r="J2" s="1287"/>
      <c r="K2" s="1287"/>
      <c r="L2" s="359"/>
    </row>
    <row r="3" spans="1:12" ht="12" customHeight="1">
      <c r="A3" s="1042" t="s">
        <v>78</v>
      </c>
      <c r="B3" s="409"/>
      <c r="C3" s="409"/>
      <c r="D3" s="359"/>
      <c r="E3" s="359"/>
      <c r="F3" s="410"/>
      <c r="G3" s="409"/>
      <c r="H3" s="411"/>
      <c r="I3" s="359"/>
      <c r="J3" s="933"/>
      <c r="K3" s="1041" t="s">
        <v>795</v>
      </c>
      <c r="L3" s="359"/>
    </row>
    <row r="4" spans="1:12" ht="13.5" customHeight="1">
      <c r="A4" s="1288" t="s">
        <v>285</v>
      </c>
      <c r="B4" s="1290">
        <v>2010</v>
      </c>
      <c r="C4" s="1292"/>
      <c r="D4" s="1290">
        <v>2011</v>
      </c>
      <c r="E4" s="1292"/>
      <c r="F4" s="1290">
        <v>2012</v>
      </c>
      <c r="G4" s="1292"/>
      <c r="H4" s="1290">
        <v>2013</v>
      </c>
      <c r="I4" s="1292"/>
      <c r="J4" s="1290">
        <v>2014</v>
      </c>
      <c r="K4" s="1292"/>
      <c r="L4" s="316"/>
    </row>
    <row r="5" spans="1:12" ht="13.5" customHeight="1">
      <c r="A5" s="1301"/>
      <c r="B5" s="369" t="s">
        <v>1202</v>
      </c>
      <c r="C5" s="371" t="s">
        <v>1203</v>
      </c>
      <c r="D5" s="362" t="s">
        <v>1202</v>
      </c>
      <c r="E5" s="637" t="s">
        <v>1203</v>
      </c>
      <c r="F5" s="635" t="s">
        <v>1202</v>
      </c>
      <c r="G5" s="660" t="s">
        <v>1203</v>
      </c>
      <c r="H5" s="369" t="s">
        <v>1202</v>
      </c>
      <c r="I5" s="371" t="s">
        <v>1203</v>
      </c>
      <c r="J5" s="369" t="s">
        <v>1202</v>
      </c>
      <c r="K5" s="371" t="s">
        <v>1203</v>
      </c>
      <c r="L5" s="359"/>
    </row>
    <row r="6" spans="1:12" ht="12.75" customHeight="1">
      <c r="A6" s="154" t="s">
        <v>278</v>
      </c>
      <c r="B6" s="160" t="s">
        <v>279</v>
      </c>
      <c r="C6" s="161" t="s">
        <v>280</v>
      </c>
      <c r="D6" s="92" t="s">
        <v>281</v>
      </c>
      <c r="E6" s="58" t="s">
        <v>282</v>
      </c>
      <c r="F6" s="87" t="s">
        <v>283</v>
      </c>
      <c r="G6" s="60" t="s">
        <v>284</v>
      </c>
      <c r="H6" s="160" t="s">
        <v>301</v>
      </c>
      <c r="I6" s="161" t="s">
        <v>302</v>
      </c>
      <c r="J6" s="160" t="s">
        <v>303</v>
      </c>
      <c r="K6" s="161" t="s">
        <v>304</v>
      </c>
      <c r="L6" s="359"/>
    </row>
    <row r="7" spans="1:12" ht="14.25" customHeight="1">
      <c r="A7" s="47" t="s">
        <v>288</v>
      </c>
      <c r="B7" s="147">
        <v>28</v>
      </c>
      <c r="C7" s="149">
        <v>7</v>
      </c>
      <c r="D7" s="1001">
        <v>26</v>
      </c>
      <c r="E7" s="722">
        <v>7</v>
      </c>
      <c r="F7" s="1001">
        <v>28</v>
      </c>
      <c r="G7" s="722">
        <v>8</v>
      </c>
      <c r="H7" s="1001">
        <v>27</v>
      </c>
      <c r="I7" s="722">
        <v>4</v>
      </c>
      <c r="J7" s="1001">
        <v>28</v>
      </c>
      <c r="K7" s="722">
        <v>8</v>
      </c>
      <c r="L7" s="359"/>
    </row>
    <row r="8" spans="1:12" ht="14.25" customHeight="1">
      <c r="A8" s="47" t="s">
        <v>289</v>
      </c>
      <c r="B8" s="147">
        <v>29</v>
      </c>
      <c r="C8" s="149">
        <v>9</v>
      </c>
      <c r="D8" s="226">
        <v>31</v>
      </c>
      <c r="E8" s="450">
        <v>10</v>
      </c>
      <c r="F8" s="226">
        <v>29</v>
      </c>
      <c r="G8" s="450">
        <v>8</v>
      </c>
      <c r="H8" s="226">
        <v>32</v>
      </c>
      <c r="I8" s="450">
        <v>10</v>
      </c>
      <c r="J8" s="226">
        <v>28</v>
      </c>
      <c r="K8" s="450">
        <v>10</v>
      </c>
      <c r="L8" s="359"/>
    </row>
    <row r="9" spans="1:12" ht="14.25" customHeight="1">
      <c r="A9" s="47" t="s">
        <v>290</v>
      </c>
      <c r="B9" s="147">
        <v>35</v>
      </c>
      <c r="C9" s="149">
        <v>16</v>
      </c>
      <c r="D9" s="226">
        <v>34</v>
      </c>
      <c r="E9" s="450">
        <v>13</v>
      </c>
      <c r="F9" s="226">
        <v>34</v>
      </c>
      <c r="G9" s="450">
        <v>12</v>
      </c>
      <c r="H9" s="226">
        <v>35</v>
      </c>
      <c r="I9" s="450">
        <v>16</v>
      </c>
      <c r="J9" s="226">
        <v>33</v>
      </c>
      <c r="K9" s="450">
        <v>13</v>
      </c>
      <c r="L9" s="359"/>
    </row>
    <row r="10" spans="1:12" ht="14.25" customHeight="1">
      <c r="A10" s="47" t="s">
        <v>291</v>
      </c>
      <c r="B10" s="147">
        <v>36</v>
      </c>
      <c r="C10" s="149">
        <v>19</v>
      </c>
      <c r="D10" s="226">
        <v>35</v>
      </c>
      <c r="E10" s="450">
        <v>16</v>
      </c>
      <c r="F10" s="226">
        <v>37</v>
      </c>
      <c r="G10" s="450">
        <v>18</v>
      </c>
      <c r="H10" s="226">
        <v>36</v>
      </c>
      <c r="I10" s="450">
        <v>19</v>
      </c>
      <c r="J10" s="226">
        <v>38</v>
      </c>
      <c r="K10" s="450">
        <v>20</v>
      </c>
      <c r="L10" s="359"/>
    </row>
    <row r="11" spans="1:12" ht="14.25" customHeight="1">
      <c r="A11" s="47" t="s">
        <v>292</v>
      </c>
      <c r="B11" s="147">
        <v>35</v>
      </c>
      <c r="C11" s="149">
        <v>20</v>
      </c>
      <c r="D11" s="226">
        <v>37</v>
      </c>
      <c r="E11" s="450">
        <v>19</v>
      </c>
      <c r="F11" s="226">
        <v>36</v>
      </c>
      <c r="G11" s="450">
        <v>16</v>
      </c>
      <c r="H11" s="226">
        <v>36</v>
      </c>
      <c r="I11" s="450">
        <v>21</v>
      </c>
      <c r="J11" s="226">
        <v>37</v>
      </c>
      <c r="K11" s="450">
        <v>21</v>
      </c>
      <c r="L11" s="359"/>
    </row>
    <row r="12" spans="1:12" ht="14.25" customHeight="1">
      <c r="A12" s="47" t="s">
        <v>293</v>
      </c>
      <c r="B12" s="147">
        <v>34</v>
      </c>
      <c r="C12" s="149">
        <v>23</v>
      </c>
      <c r="D12" s="226">
        <v>36</v>
      </c>
      <c r="E12" s="450">
        <v>21</v>
      </c>
      <c r="F12" s="226">
        <v>35</v>
      </c>
      <c r="G12" s="450">
        <v>22</v>
      </c>
      <c r="H12" s="226">
        <v>38</v>
      </c>
      <c r="I12" s="450">
        <v>22</v>
      </c>
      <c r="J12" s="226">
        <v>34</v>
      </c>
      <c r="K12" s="450">
        <v>24</v>
      </c>
      <c r="L12" s="359"/>
    </row>
    <row r="13" spans="1:12" ht="14.25" customHeight="1">
      <c r="A13" s="47" t="s">
        <v>294</v>
      </c>
      <c r="B13" s="147">
        <v>35</v>
      </c>
      <c r="C13" s="149">
        <v>24</v>
      </c>
      <c r="D13" s="226">
        <v>37</v>
      </c>
      <c r="E13" s="450">
        <v>23</v>
      </c>
      <c r="F13" s="226">
        <v>37</v>
      </c>
      <c r="G13" s="450">
        <v>23</v>
      </c>
      <c r="H13" s="226">
        <v>35</v>
      </c>
      <c r="I13" s="450">
        <v>24</v>
      </c>
      <c r="J13" s="226">
        <v>37</v>
      </c>
      <c r="K13" s="450">
        <v>25</v>
      </c>
      <c r="L13" s="359"/>
    </row>
    <row r="14" spans="1:12" ht="14.25" customHeight="1">
      <c r="A14" s="47" t="s">
        <v>295</v>
      </c>
      <c r="B14" s="147">
        <v>36</v>
      </c>
      <c r="C14" s="149">
        <v>24</v>
      </c>
      <c r="D14" s="226">
        <v>36</v>
      </c>
      <c r="E14" s="450">
        <v>22</v>
      </c>
      <c r="F14" s="226">
        <v>36</v>
      </c>
      <c r="G14" s="450">
        <v>23</v>
      </c>
      <c r="H14" s="226">
        <v>37</v>
      </c>
      <c r="I14" s="450">
        <v>24</v>
      </c>
      <c r="J14" s="226">
        <v>37</v>
      </c>
      <c r="K14" s="450">
        <v>24</v>
      </c>
      <c r="L14" s="359"/>
    </row>
    <row r="15" spans="1:12" ht="14.25" customHeight="1">
      <c r="A15" s="47" t="s">
        <v>296</v>
      </c>
      <c r="B15" s="147">
        <v>35</v>
      </c>
      <c r="C15" s="149">
        <v>23</v>
      </c>
      <c r="D15" s="226">
        <v>37</v>
      </c>
      <c r="E15" s="450">
        <v>21</v>
      </c>
      <c r="F15" s="796" t="s">
        <v>117</v>
      </c>
      <c r="G15" s="146" t="s">
        <v>117</v>
      </c>
      <c r="H15" s="226">
        <v>37</v>
      </c>
      <c r="I15" s="450">
        <v>22</v>
      </c>
      <c r="J15" s="226">
        <v>36</v>
      </c>
      <c r="K15" s="450">
        <v>22</v>
      </c>
      <c r="L15" s="359"/>
    </row>
    <row r="16" spans="1:12" ht="14.25" customHeight="1">
      <c r="A16" s="47" t="s">
        <v>297</v>
      </c>
      <c r="B16" s="147">
        <v>35</v>
      </c>
      <c r="C16" s="149">
        <v>19</v>
      </c>
      <c r="D16" s="226">
        <v>35</v>
      </c>
      <c r="E16" s="450">
        <v>17</v>
      </c>
      <c r="F16" s="226">
        <v>34</v>
      </c>
      <c r="G16" s="450">
        <v>17</v>
      </c>
      <c r="H16" s="226">
        <v>34</v>
      </c>
      <c r="I16" s="450">
        <v>20</v>
      </c>
      <c r="J16" s="226">
        <v>35</v>
      </c>
      <c r="K16" s="450">
        <v>18</v>
      </c>
      <c r="L16" s="359"/>
    </row>
    <row r="17" spans="1:12" ht="14.25" customHeight="1">
      <c r="A17" s="47" t="s">
        <v>298</v>
      </c>
      <c r="B17" s="147">
        <v>33</v>
      </c>
      <c r="C17" s="149">
        <v>13</v>
      </c>
      <c r="D17" s="226">
        <v>30</v>
      </c>
      <c r="E17" s="450">
        <v>15</v>
      </c>
      <c r="F17" s="226">
        <v>32</v>
      </c>
      <c r="G17" s="450">
        <v>12</v>
      </c>
      <c r="H17" s="226">
        <v>31</v>
      </c>
      <c r="I17" s="450">
        <v>14</v>
      </c>
      <c r="J17" s="226">
        <v>33</v>
      </c>
      <c r="K17" s="450">
        <v>13</v>
      </c>
      <c r="L17" s="359"/>
    </row>
    <row r="18" spans="1:12" ht="14.25" customHeight="1">
      <c r="A18" s="47" t="s">
        <v>299</v>
      </c>
      <c r="B18" s="147">
        <v>29</v>
      </c>
      <c r="C18" s="149">
        <v>9</v>
      </c>
      <c r="D18" s="226">
        <v>29</v>
      </c>
      <c r="E18" s="450">
        <v>10</v>
      </c>
      <c r="F18" s="226">
        <v>27</v>
      </c>
      <c r="G18" s="450">
        <v>8</v>
      </c>
      <c r="H18" s="226">
        <v>29</v>
      </c>
      <c r="I18" s="450">
        <v>11</v>
      </c>
      <c r="J18" s="226">
        <v>31</v>
      </c>
      <c r="K18" s="450">
        <v>6</v>
      </c>
      <c r="L18" s="359"/>
    </row>
    <row r="19" spans="1:12" ht="13.5" customHeight="1">
      <c r="A19" s="230" t="s">
        <v>306</v>
      </c>
      <c r="B19" s="164">
        <f>MAX(B7:B18)</f>
        <v>36</v>
      </c>
      <c r="C19" s="166">
        <f>MIN(C7:C18)</f>
        <v>7</v>
      </c>
      <c r="D19" s="164">
        <f>MAX(D7:D18)</f>
        <v>37</v>
      </c>
      <c r="E19" s="166">
        <f>MIN(E7:E18)</f>
        <v>7</v>
      </c>
      <c r="F19" s="164">
        <f>MAX(F7:F18)</f>
        <v>37</v>
      </c>
      <c r="G19" s="166">
        <f>MIN(G7:G18)</f>
        <v>8</v>
      </c>
      <c r="H19" s="164">
        <f>MAX(H7:H18)</f>
        <v>38</v>
      </c>
      <c r="I19" s="166">
        <f>MIN(I7:I18)</f>
        <v>4</v>
      </c>
      <c r="J19" s="164">
        <f>MAX(J7:J18)</f>
        <v>38</v>
      </c>
      <c r="K19" s="166">
        <f>MIN(K7:K18)</f>
        <v>6</v>
      </c>
      <c r="L19" s="359"/>
    </row>
    <row r="20" spans="1:12" ht="12.75" customHeight="1">
      <c r="A20" s="359"/>
      <c r="B20" s="359"/>
      <c r="C20" s="359"/>
      <c r="D20" s="359"/>
      <c r="E20" s="359"/>
      <c r="F20" s="359"/>
      <c r="H20" s="933"/>
      <c r="I20" s="933"/>
      <c r="J20" s="932"/>
      <c r="K20" s="949" t="s">
        <v>1012</v>
      </c>
      <c r="L20" s="359"/>
    </row>
    <row r="21" spans="1:12" ht="6" customHeight="1">
      <c r="A21" s="359"/>
      <c r="B21" s="359"/>
      <c r="C21" s="359"/>
      <c r="D21" s="359"/>
      <c r="E21" s="359"/>
      <c r="F21" s="359"/>
      <c r="H21" s="359"/>
      <c r="I21" s="359"/>
      <c r="J21" s="408"/>
      <c r="K21" s="383"/>
      <c r="L21" s="359"/>
    </row>
    <row r="22" spans="1:12" ht="12.75" customHeight="1">
      <c r="A22" s="1286" t="s">
        <v>1422</v>
      </c>
      <c r="B22" s="1286"/>
      <c r="C22" s="1286"/>
      <c r="D22" s="1286"/>
      <c r="E22" s="1286"/>
      <c r="F22" s="1286"/>
      <c r="G22" s="1286"/>
      <c r="H22" s="1286"/>
      <c r="I22" s="1286"/>
      <c r="J22" s="1286"/>
      <c r="K22" s="1286"/>
      <c r="L22" s="359"/>
    </row>
    <row r="23" spans="1:12" ht="15" customHeight="1">
      <c r="A23" s="1311" t="str">
        <f>CONCATENATE("Mean Maximum and Mean Minimum Temperature by month in the district of ",District!$A$1)</f>
        <v>Mean Maximum and Mean Minimum Temperature by month in the district of Jalpaiguri</v>
      </c>
      <c r="B23" s="1311"/>
      <c r="C23" s="1311"/>
      <c r="D23" s="1311"/>
      <c r="E23" s="1311"/>
      <c r="F23" s="1311"/>
      <c r="G23" s="1311"/>
      <c r="H23" s="1311"/>
      <c r="I23" s="1311"/>
      <c r="J23" s="1311"/>
      <c r="K23" s="1311"/>
      <c r="L23" s="359"/>
    </row>
    <row r="24" spans="1:12" ht="12" customHeight="1">
      <c r="A24" s="1042" t="s">
        <v>78</v>
      </c>
      <c r="B24" s="359"/>
      <c r="C24" s="359"/>
      <c r="D24" s="359"/>
      <c r="E24" s="359"/>
      <c r="F24" s="359"/>
      <c r="G24" s="359"/>
      <c r="H24" s="359"/>
      <c r="I24" s="359"/>
      <c r="J24" s="359"/>
      <c r="K24" s="1043" t="s">
        <v>796</v>
      </c>
      <c r="L24" s="359"/>
    </row>
    <row r="25" spans="1:12" ht="13.5" customHeight="1">
      <c r="A25" s="1288" t="s">
        <v>285</v>
      </c>
      <c r="B25" s="1290">
        <v>2010</v>
      </c>
      <c r="C25" s="1292"/>
      <c r="D25" s="1290">
        <v>2011</v>
      </c>
      <c r="E25" s="1292"/>
      <c r="F25" s="1290">
        <v>2012</v>
      </c>
      <c r="G25" s="1292"/>
      <c r="H25" s="1290">
        <v>2013</v>
      </c>
      <c r="I25" s="1292"/>
      <c r="J25" s="1290">
        <v>2014</v>
      </c>
      <c r="K25" s="1292"/>
      <c r="L25" s="359"/>
    </row>
    <row r="26" spans="1:12" ht="13.5" customHeight="1">
      <c r="A26" s="1312"/>
      <c r="B26" s="171" t="s">
        <v>305</v>
      </c>
      <c r="C26" s="172" t="s">
        <v>305</v>
      </c>
      <c r="D26" s="173" t="s">
        <v>305</v>
      </c>
      <c r="E26" s="172" t="s">
        <v>305</v>
      </c>
      <c r="F26" s="173" t="s">
        <v>305</v>
      </c>
      <c r="G26" s="172" t="s">
        <v>305</v>
      </c>
      <c r="H26" s="173" t="s">
        <v>305</v>
      </c>
      <c r="I26" s="172" t="s">
        <v>305</v>
      </c>
      <c r="J26" s="173" t="s">
        <v>305</v>
      </c>
      <c r="K26" s="172" t="s">
        <v>305</v>
      </c>
      <c r="L26" s="359"/>
    </row>
    <row r="27" spans="1:12" ht="13.5" customHeight="1">
      <c r="A27" s="1301"/>
      <c r="B27" s="370" t="s">
        <v>1202</v>
      </c>
      <c r="C27" s="371" t="s">
        <v>1203</v>
      </c>
      <c r="D27" s="369" t="s">
        <v>1202</v>
      </c>
      <c r="E27" s="371" t="s">
        <v>1203</v>
      </c>
      <c r="F27" s="369" t="s">
        <v>1202</v>
      </c>
      <c r="G27" s="371" t="s">
        <v>1203</v>
      </c>
      <c r="H27" s="369" t="s">
        <v>1202</v>
      </c>
      <c r="I27" s="371" t="s">
        <v>1203</v>
      </c>
      <c r="J27" s="369" t="s">
        <v>1202</v>
      </c>
      <c r="K27" s="371" t="s">
        <v>1203</v>
      </c>
      <c r="L27" s="359"/>
    </row>
    <row r="28" spans="1:12" ht="12.75" customHeight="1">
      <c r="A28" s="154" t="s">
        <v>278</v>
      </c>
      <c r="B28" s="159" t="s">
        <v>279</v>
      </c>
      <c r="C28" s="161" t="s">
        <v>280</v>
      </c>
      <c r="D28" s="160" t="s">
        <v>281</v>
      </c>
      <c r="E28" s="161" t="s">
        <v>282</v>
      </c>
      <c r="F28" s="160" t="s">
        <v>283</v>
      </c>
      <c r="G28" s="161" t="s">
        <v>284</v>
      </c>
      <c r="H28" s="160" t="s">
        <v>301</v>
      </c>
      <c r="I28" s="161" t="s">
        <v>302</v>
      </c>
      <c r="J28" s="160" t="s">
        <v>303</v>
      </c>
      <c r="K28" s="161" t="s">
        <v>304</v>
      </c>
      <c r="L28" s="359"/>
    </row>
    <row r="29" spans="1:12" ht="14.25" customHeight="1">
      <c r="A29" s="47" t="s">
        <v>288</v>
      </c>
      <c r="B29" s="363">
        <v>22</v>
      </c>
      <c r="C29" s="415">
        <v>9</v>
      </c>
      <c r="D29" s="614">
        <v>21</v>
      </c>
      <c r="E29" s="997">
        <v>10</v>
      </c>
      <c r="F29" s="614">
        <v>22</v>
      </c>
      <c r="G29" s="997">
        <v>11</v>
      </c>
      <c r="H29" s="226">
        <v>22</v>
      </c>
      <c r="I29" s="450">
        <v>8</v>
      </c>
      <c r="J29" s="226">
        <v>22</v>
      </c>
      <c r="K29" s="450">
        <v>12</v>
      </c>
      <c r="L29" s="359"/>
    </row>
    <row r="30" spans="1:12" ht="14.25" customHeight="1">
      <c r="A30" s="47" t="s">
        <v>289</v>
      </c>
      <c r="B30" s="363">
        <v>26</v>
      </c>
      <c r="C30" s="415">
        <v>12</v>
      </c>
      <c r="D30" s="614">
        <v>27</v>
      </c>
      <c r="E30" s="997">
        <v>13</v>
      </c>
      <c r="F30" s="614">
        <v>26</v>
      </c>
      <c r="G30" s="997">
        <v>13</v>
      </c>
      <c r="H30" s="226">
        <v>28</v>
      </c>
      <c r="I30" s="450">
        <v>14</v>
      </c>
      <c r="J30" s="226">
        <v>24</v>
      </c>
      <c r="K30" s="450">
        <v>13</v>
      </c>
      <c r="L30" s="359"/>
    </row>
    <row r="31" spans="1:12" ht="14.25" customHeight="1">
      <c r="A31" s="47" t="s">
        <v>290</v>
      </c>
      <c r="B31" s="363">
        <v>31</v>
      </c>
      <c r="C31" s="415">
        <v>19</v>
      </c>
      <c r="D31" s="614">
        <v>30</v>
      </c>
      <c r="E31" s="997">
        <v>17</v>
      </c>
      <c r="F31" s="614">
        <v>30</v>
      </c>
      <c r="G31" s="997">
        <v>17</v>
      </c>
      <c r="H31" s="226">
        <v>31</v>
      </c>
      <c r="I31" s="450">
        <v>19</v>
      </c>
      <c r="J31" s="226">
        <v>30</v>
      </c>
      <c r="K31" s="450">
        <v>17</v>
      </c>
      <c r="L31" s="359"/>
    </row>
    <row r="32" spans="1:12" ht="14.25" customHeight="1">
      <c r="A32" s="47" t="s">
        <v>291</v>
      </c>
      <c r="B32" s="363">
        <v>32</v>
      </c>
      <c r="C32" s="415">
        <v>22</v>
      </c>
      <c r="D32" s="614">
        <v>31</v>
      </c>
      <c r="E32" s="997">
        <v>20</v>
      </c>
      <c r="F32" s="614">
        <v>32</v>
      </c>
      <c r="G32" s="997">
        <v>21</v>
      </c>
      <c r="H32" s="226">
        <v>33</v>
      </c>
      <c r="I32" s="450">
        <v>22</v>
      </c>
      <c r="J32" s="226">
        <v>35</v>
      </c>
      <c r="K32" s="450">
        <v>11</v>
      </c>
      <c r="L32" s="359"/>
    </row>
    <row r="33" spans="1:12" ht="14.25" customHeight="1">
      <c r="A33" s="47" t="s">
        <v>292</v>
      </c>
      <c r="B33" s="363">
        <v>32</v>
      </c>
      <c r="C33" s="415">
        <v>23</v>
      </c>
      <c r="D33" s="614">
        <v>32</v>
      </c>
      <c r="E33" s="997">
        <v>22</v>
      </c>
      <c r="F33" s="614">
        <v>34</v>
      </c>
      <c r="G33" s="997">
        <v>23</v>
      </c>
      <c r="H33" s="226">
        <v>32</v>
      </c>
      <c r="I33" s="450">
        <v>24</v>
      </c>
      <c r="J33" s="226">
        <v>33</v>
      </c>
      <c r="K33" s="450">
        <v>24</v>
      </c>
      <c r="L33" s="359"/>
    </row>
    <row r="34" spans="1:12" ht="14.25" customHeight="1">
      <c r="A34" s="47" t="s">
        <v>293</v>
      </c>
      <c r="B34" s="363">
        <v>31</v>
      </c>
      <c r="C34" s="415">
        <v>24</v>
      </c>
      <c r="D34" s="614">
        <v>34</v>
      </c>
      <c r="E34" s="997">
        <v>24</v>
      </c>
      <c r="F34" s="614">
        <v>31</v>
      </c>
      <c r="G34" s="997">
        <v>24</v>
      </c>
      <c r="H34" s="226">
        <v>33</v>
      </c>
      <c r="I34" s="450">
        <v>26</v>
      </c>
      <c r="J34" s="226">
        <v>33</v>
      </c>
      <c r="K34" s="450">
        <v>26</v>
      </c>
      <c r="L34" s="359"/>
    </row>
    <row r="35" spans="1:12" ht="14.25" customHeight="1">
      <c r="A35" s="47" t="s">
        <v>294</v>
      </c>
      <c r="B35" s="363">
        <v>32</v>
      </c>
      <c r="C35" s="415">
        <v>25</v>
      </c>
      <c r="D35" s="614">
        <v>32</v>
      </c>
      <c r="E35" s="997">
        <v>24</v>
      </c>
      <c r="F35" s="614">
        <v>32</v>
      </c>
      <c r="G35" s="997">
        <v>25</v>
      </c>
      <c r="H35" s="226">
        <v>32</v>
      </c>
      <c r="I35" s="450">
        <v>26</v>
      </c>
      <c r="J35" s="226">
        <v>34</v>
      </c>
      <c r="K35" s="450">
        <v>27</v>
      </c>
      <c r="L35" s="359"/>
    </row>
    <row r="36" spans="1:12" ht="14.25" customHeight="1">
      <c r="A36" s="47" t="s">
        <v>295</v>
      </c>
      <c r="B36" s="363">
        <v>32</v>
      </c>
      <c r="C36" s="415">
        <v>25</v>
      </c>
      <c r="D36" s="614">
        <v>33</v>
      </c>
      <c r="E36" s="997">
        <v>24</v>
      </c>
      <c r="F36" s="614">
        <v>34</v>
      </c>
      <c r="G36" s="997">
        <v>25</v>
      </c>
      <c r="H36" s="226">
        <v>33</v>
      </c>
      <c r="I36" s="450">
        <v>26</v>
      </c>
      <c r="J36" s="226">
        <v>32</v>
      </c>
      <c r="K36" s="450">
        <v>26</v>
      </c>
      <c r="L36" s="359"/>
    </row>
    <row r="37" spans="1:12" ht="14.25" customHeight="1">
      <c r="A37" s="47" t="s">
        <v>296</v>
      </c>
      <c r="B37" s="363">
        <v>32</v>
      </c>
      <c r="C37" s="415">
        <v>24</v>
      </c>
      <c r="D37" s="614">
        <v>33</v>
      </c>
      <c r="E37" s="997">
        <v>23</v>
      </c>
      <c r="F37" s="1103" t="s">
        <v>117</v>
      </c>
      <c r="G37" s="1104" t="s">
        <v>117</v>
      </c>
      <c r="H37" s="226">
        <v>33</v>
      </c>
      <c r="I37" s="450">
        <v>25</v>
      </c>
      <c r="J37" s="226">
        <v>32</v>
      </c>
      <c r="K37" s="450">
        <v>25</v>
      </c>
      <c r="L37" s="359"/>
    </row>
    <row r="38" spans="1:12" ht="14.25" customHeight="1">
      <c r="A38" s="47" t="s">
        <v>297</v>
      </c>
      <c r="B38" s="363">
        <v>31</v>
      </c>
      <c r="C38" s="415">
        <v>21</v>
      </c>
      <c r="D38" s="614">
        <v>33</v>
      </c>
      <c r="E38" s="997">
        <v>21</v>
      </c>
      <c r="F38" s="614">
        <v>32</v>
      </c>
      <c r="G38" s="997">
        <v>20</v>
      </c>
      <c r="H38" s="226">
        <v>30</v>
      </c>
      <c r="I38" s="450">
        <v>22</v>
      </c>
      <c r="J38" s="226">
        <v>32</v>
      </c>
      <c r="K38" s="450">
        <v>22</v>
      </c>
      <c r="L38" s="359"/>
    </row>
    <row r="39" spans="1:12" ht="14.25" customHeight="1">
      <c r="A39" s="47" t="s">
        <v>298</v>
      </c>
      <c r="B39" s="363">
        <v>29</v>
      </c>
      <c r="C39" s="415">
        <v>18</v>
      </c>
      <c r="D39" s="614">
        <v>28</v>
      </c>
      <c r="E39" s="997">
        <v>17</v>
      </c>
      <c r="F39" s="614">
        <v>29</v>
      </c>
      <c r="G39" s="997">
        <v>15</v>
      </c>
      <c r="H39" s="226">
        <v>29</v>
      </c>
      <c r="I39" s="450">
        <v>16</v>
      </c>
      <c r="J39" s="226">
        <v>29</v>
      </c>
      <c r="K39" s="450">
        <v>16</v>
      </c>
      <c r="L39" s="359"/>
    </row>
    <row r="40" spans="1:12" ht="14.25" customHeight="1">
      <c r="A40" s="401" t="s">
        <v>299</v>
      </c>
      <c r="B40" s="44">
        <v>26</v>
      </c>
      <c r="C40" s="43">
        <v>12</v>
      </c>
      <c r="D40" s="235">
        <v>24</v>
      </c>
      <c r="E40" s="236">
        <v>13</v>
      </c>
      <c r="F40" s="235">
        <v>24</v>
      </c>
      <c r="G40" s="236">
        <v>12</v>
      </c>
      <c r="H40" s="245">
        <v>25</v>
      </c>
      <c r="I40" s="455">
        <v>14</v>
      </c>
      <c r="J40" s="245">
        <v>26</v>
      </c>
      <c r="K40" s="455">
        <v>12</v>
      </c>
      <c r="L40" s="359"/>
    </row>
    <row r="41" spans="1:12" ht="12.75" customHeight="1">
      <c r="A41" s="359"/>
      <c r="B41" s="359"/>
      <c r="C41" s="359"/>
      <c r="D41" s="359"/>
      <c r="E41" s="359"/>
      <c r="F41" s="359"/>
      <c r="G41" s="359"/>
      <c r="H41" s="359"/>
      <c r="I41" s="359"/>
      <c r="J41" s="359"/>
      <c r="K41" s="886" t="s">
        <v>1012</v>
      </c>
      <c r="L41" s="359"/>
    </row>
    <row r="42" spans="1:12" ht="14.1" customHeight="1">
      <c r="A42" s="359"/>
      <c r="B42" s="359"/>
      <c r="C42" s="359"/>
      <c r="D42" s="359"/>
      <c r="E42" s="359"/>
      <c r="F42" s="359"/>
      <c r="G42" s="359"/>
      <c r="H42" s="359"/>
      <c r="I42" s="359"/>
      <c r="J42" s="408"/>
      <c r="K42" s="359"/>
      <c r="L42" s="359"/>
    </row>
    <row r="43" spans="1:12" ht="14.1" customHeight="1"/>
    <row r="44" spans="1:12" ht="14.1" customHeight="1"/>
    <row r="45" spans="1:12" ht="14.1" customHeight="1"/>
    <row r="46" spans="1:12" ht="14.1" customHeight="1"/>
    <row r="47" spans="1:12" ht="14.1" customHeight="1"/>
    <row r="48" spans="1:12"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sheetData>
  <mergeCells count="16">
    <mergeCell ref="A1:K1"/>
    <mergeCell ref="H25:I25"/>
    <mergeCell ref="A2:K2"/>
    <mergeCell ref="A22:K22"/>
    <mergeCell ref="A23:K23"/>
    <mergeCell ref="J4:K4"/>
    <mergeCell ref="J25:K25"/>
    <mergeCell ref="B25:C25"/>
    <mergeCell ref="D25:E25"/>
    <mergeCell ref="H4:I4"/>
    <mergeCell ref="F25:G25"/>
    <mergeCell ref="A25:A27"/>
    <mergeCell ref="B4:C4"/>
    <mergeCell ref="D4:E4"/>
    <mergeCell ref="F4:G4"/>
    <mergeCell ref="A4:A5"/>
  </mergeCells>
  <phoneticPr fontId="0" type="noConversion"/>
  <printOptions horizontalCentered="1"/>
  <pageMargins left="0.1" right="0.1" top="0.33" bottom="0.1" header="0.34" footer="0.1"/>
  <pageSetup paperSize="9" orientation="landscape" blackAndWhite="1" r:id="rId1"/>
  <headerFooter alignWithMargins="0"/>
</worksheet>
</file>

<file path=xl/worksheets/sheet70.xml><?xml version="1.0" encoding="utf-8"?>
<worksheet xmlns="http://schemas.openxmlformats.org/spreadsheetml/2006/main" xmlns:r="http://schemas.openxmlformats.org/officeDocument/2006/relationships">
  <sheetPr codeName="Sheet75"/>
  <dimension ref="A1:L44"/>
  <sheetViews>
    <sheetView workbookViewId="0">
      <selection activeCell="G16" sqref="G16"/>
    </sheetView>
  </sheetViews>
  <sheetFormatPr defaultRowHeight="12.75"/>
  <cols>
    <col min="1" max="1" width="13" customWidth="1"/>
    <col min="2" max="2" width="11" customWidth="1"/>
    <col min="3" max="3" width="13.5703125" customWidth="1"/>
    <col min="4" max="11" width="11" customWidth="1"/>
    <col min="12" max="12" width="11.5703125" customWidth="1"/>
  </cols>
  <sheetData>
    <row r="1" spans="1:12" ht="15.75" customHeight="1">
      <c r="A1" s="1286" t="s">
        <v>489</v>
      </c>
      <c r="B1" s="1286"/>
      <c r="C1" s="1286"/>
      <c r="D1" s="1286"/>
      <c r="E1" s="1286"/>
      <c r="F1" s="1286"/>
      <c r="G1" s="1286"/>
      <c r="H1" s="1286"/>
      <c r="I1" s="1286"/>
      <c r="J1" s="1286"/>
      <c r="K1" s="1286"/>
      <c r="L1" s="1286"/>
    </row>
    <row r="2" spans="1:12" ht="20.25" customHeight="1">
      <c r="A2" s="1354" t="str">
        <f>CONCATENATE("Revenue collected from different sources in the district of ",District!$A$1)</f>
        <v>Revenue collected from different sources in the district of Jalpaiguri</v>
      </c>
      <c r="B2" s="1354"/>
      <c r="C2" s="1354"/>
      <c r="D2" s="1354"/>
      <c r="E2" s="1354"/>
      <c r="F2" s="1354"/>
      <c r="G2" s="1354"/>
      <c r="H2" s="1354"/>
      <c r="I2" s="1354"/>
      <c r="J2" s="1354"/>
      <c r="K2" s="1354"/>
      <c r="L2" s="1354"/>
    </row>
    <row r="3" spans="1:12" ht="12" customHeight="1">
      <c r="B3" s="661"/>
      <c r="C3" s="661"/>
      <c r="D3" s="661"/>
      <c r="E3" s="661"/>
      <c r="F3" s="661"/>
      <c r="G3" s="661"/>
      <c r="H3" s="661"/>
      <c r="I3" s="661"/>
      <c r="J3" s="661"/>
      <c r="K3" s="1852" t="s">
        <v>1403</v>
      </c>
      <c r="L3" s="1852"/>
    </row>
    <row r="4" spans="1:12" s="12" customFormat="1" ht="45" customHeight="1">
      <c r="A4" s="325" t="s">
        <v>98</v>
      </c>
      <c r="B4" s="825" t="s">
        <v>1359</v>
      </c>
      <c r="C4" s="856" t="s">
        <v>1360</v>
      </c>
      <c r="D4" s="825" t="s">
        <v>1361</v>
      </c>
      <c r="E4" s="373" t="s">
        <v>1010</v>
      </c>
      <c r="F4" s="825" t="s">
        <v>1362</v>
      </c>
      <c r="G4" s="373" t="s">
        <v>1364</v>
      </c>
      <c r="H4" s="825" t="s">
        <v>1363</v>
      </c>
      <c r="I4" s="373" t="s">
        <v>705</v>
      </c>
      <c r="J4" s="825" t="s">
        <v>1365</v>
      </c>
      <c r="K4" s="373" t="s">
        <v>1313</v>
      </c>
      <c r="L4" s="638" t="s">
        <v>300</v>
      </c>
    </row>
    <row r="5" spans="1:12" s="12" customFormat="1" ht="20.25" customHeight="1">
      <c r="A5" s="57" t="s">
        <v>278</v>
      </c>
      <c r="B5" s="88" t="s">
        <v>279</v>
      </c>
      <c r="C5" s="137" t="s">
        <v>280</v>
      </c>
      <c r="D5" s="88" t="s">
        <v>281</v>
      </c>
      <c r="E5" s="137" t="s">
        <v>282</v>
      </c>
      <c r="F5" s="88" t="s">
        <v>283</v>
      </c>
      <c r="G5" s="137" t="s">
        <v>284</v>
      </c>
      <c r="H5" s="88" t="s">
        <v>301</v>
      </c>
      <c r="I5" s="137" t="s">
        <v>302</v>
      </c>
      <c r="J5" s="88" t="s">
        <v>303</v>
      </c>
      <c r="K5" s="137" t="s">
        <v>304</v>
      </c>
      <c r="L5" s="137" t="s">
        <v>344</v>
      </c>
    </row>
    <row r="6" spans="1:12" ht="50.1" customHeight="1">
      <c r="A6" s="729" t="s">
        <v>1110</v>
      </c>
      <c r="B6" s="227">
        <v>128611</v>
      </c>
      <c r="C6" s="225">
        <v>417660</v>
      </c>
      <c r="D6" s="227">
        <v>665963</v>
      </c>
      <c r="E6" s="225">
        <v>151374</v>
      </c>
      <c r="F6" s="227">
        <v>125633</v>
      </c>
      <c r="G6" s="225">
        <v>11161</v>
      </c>
      <c r="H6" s="227">
        <v>145125</v>
      </c>
      <c r="I6" s="225">
        <v>3531</v>
      </c>
      <c r="J6" s="227">
        <v>68589</v>
      </c>
      <c r="K6" s="225">
        <v>4542</v>
      </c>
      <c r="L6" s="52">
        <f>SUM(B6:K6)</f>
        <v>1722189</v>
      </c>
    </row>
    <row r="7" spans="1:12" ht="50.1" customHeight="1">
      <c r="A7" s="729" t="s">
        <v>1111</v>
      </c>
      <c r="B7" s="227">
        <v>84363</v>
      </c>
      <c r="C7" s="225">
        <v>574915</v>
      </c>
      <c r="D7" s="227">
        <v>613248</v>
      </c>
      <c r="E7" s="225">
        <v>128035</v>
      </c>
      <c r="F7" s="227">
        <v>173227</v>
      </c>
      <c r="G7" s="225">
        <v>17846</v>
      </c>
      <c r="H7" s="227">
        <v>192020</v>
      </c>
      <c r="I7" s="225">
        <v>11404</v>
      </c>
      <c r="J7" s="227">
        <v>69597</v>
      </c>
      <c r="K7" s="225">
        <v>5017</v>
      </c>
      <c r="L7" s="227">
        <f>SUM(B7:K7)</f>
        <v>1869672</v>
      </c>
    </row>
    <row r="8" spans="1:12" ht="50.1" customHeight="1">
      <c r="A8" s="729" t="s">
        <v>641</v>
      </c>
      <c r="B8" s="227">
        <v>109068</v>
      </c>
      <c r="C8" s="225">
        <v>739748</v>
      </c>
      <c r="D8" s="227">
        <v>495444</v>
      </c>
      <c r="E8" s="225">
        <v>204832</v>
      </c>
      <c r="F8" s="227">
        <v>203430</v>
      </c>
      <c r="G8" s="225">
        <v>20911</v>
      </c>
      <c r="H8" s="227">
        <v>218470</v>
      </c>
      <c r="I8" s="225">
        <v>8262</v>
      </c>
      <c r="J8" s="227">
        <v>73928</v>
      </c>
      <c r="K8" s="225">
        <v>5719</v>
      </c>
      <c r="L8" s="227">
        <f>SUM(B8:K8)</f>
        <v>2079812</v>
      </c>
    </row>
    <row r="9" spans="1:12" ht="50.1" customHeight="1">
      <c r="A9" s="729" t="s">
        <v>909</v>
      </c>
      <c r="B9" s="227">
        <v>174611</v>
      </c>
      <c r="C9" s="225">
        <v>1037172</v>
      </c>
      <c r="D9" s="227">
        <v>1246119</v>
      </c>
      <c r="E9" s="225">
        <v>261531</v>
      </c>
      <c r="F9" s="227">
        <v>296510</v>
      </c>
      <c r="G9" s="225">
        <v>20330</v>
      </c>
      <c r="H9" s="227">
        <v>230138</v>
      </c>
      <c r="I9" s="225">
        <v>5922</v>
      </c>
      <c r="J9" s="227">
        <v>75445</v>
      </c>
      <c r="K9" s="225">
        <v>4991</v>
      </c>
      <c r="L9" s="227">
        <f>SUM(B9:K9)</f>
        <v>3352769</v>
      </c>
    </row>
    <row r="10" spans="1:12" ht="50.1" customHeight="1">
      <c r="A10" s="682" t="s">
        <v>895</v>
      </c>
      <c r="B10" s="427">
        <v>150769</v>
      </c>
      <c r="C10" s="244">
        <v>974925</v>
      </c>
      <c r="D10" s="427">
        <v>1168685</v>
      </c>
      <c r="E10" s="244">
        <v>469417</v>
      </c>
      <c r="F10" s="427">
        <v>318765</v>
      </c>
      <c r="G10" s="244">
        <v>20416</v>
      </c>
      <c r="H10" s="427">
        <v>277678</v>
      </c>
      <c r="I10" s="244">
        <v>5352</v>
      </c>
      <c r="J10" s="427">
        <v>72578</v>
      </c>
      <c r="K10" s="244">
        <v>6619</v>
      </c>
      <c r="L10" s="427">
        <f>SUM(B10:K10)</f>
        <v>3465204</v>
      </c>
    </row>
    <row r="11" spans="1:12" ht="15.75" customHeight="1">
      <c r="A11" s="7"/>
      <c r="I11" s="55"/>
      <c r="J11" s="875" t="s">
        <v>80</v>
      </c>
      <c r="K11" s="878" t="s">
        <v>179</v>
      </c>
      <c r="L11" s="878"/>
    </row>
    <row r="12" spans="1:12">
      <c r="J12" s="875" t="s">
        <v>81</v>
      </c>
      <c r="K12" s="878" t="s">
        <v>180</v>
      </c>
      <c r="L12" s="878"/>
    </row>
    <row r="13" spans="1:12">
      <c r="J13" s="878"/>
      <c r="K13" s="878" t="s">
        <v>706</v>
      </c>
      <c r="L13" s="878"/>
    </row>
    <row r="14" spans="1:12">
      <c r="L14" s="54"/>
    </row>
    <row r="44" spans="3:4">
      <c r="C44" s="22"/>
      <c r="D44" s="22"/>
    </row>
  </sheetData>
  <mergeCells count="3">
    <mergeCell ref="A1:L1"/>
    <mergeCell ref="A2:L2"/>
    <mergeCell ref="K3:L3"/>
  </mergeCells>
  <phoneticPr fontId="0" type="noConversion"/>
  <printOptions horizontalCentered="1"/>
  <pageMargins left="0.1" right="0.1" top="1.01" bottom="0.1" header="0.5" footer="0.1"/>
  <pageSetup paperSize="9" orientation="landscape" blackAndWhite="1" r:id="rId1"/>
  <headerFooter alignWithMargins="0"/>
</worksheet>
</file>

<file path=xl/worksheets/sheet71.xml><?xml version="1.0" encoding="utf-8"?>
<worksheet xmlns="http://schemas.openxmlformats.org/spreadsheetml/2006/main" xmlns:r="http://schemas.openxmlformats.org/officeDocument/2006/relationships">
  <sheetPr codeName="Sheet76"/>
  <dimension ref="A1:C34"/>
  <sheetViews>
    <sheetView workbookViewId="0">
      <selection activeCell="B33" sqref="B33"/>
    </sheetView>
  </sheetViews>
  <sheetFormatPr defaultRowHeight="12.75"/>
  <cols>
    <col min="1" max="1" width="36.85546875" customWidth="1"/>
    <col min="2" max="2" width="40.28515625" customWidth="1"/>
  </cols>
  <sheetData>
    <row r="1" spans="1:3" ht="15" customHeight="1">
      <c r="A1" s="1286" t="s">
        <v>490</v>
      </c>
      <c r="B1" s="1286"/>
      <c r="C1" s="54"/>
    </row>
    <row r="2" spans="1:3" ht="18.75" customHeight="1">
      <c r="A2" s="1354" t="str">
        <f>CONCATENATE("Net Collection from Small Savings in the district of ",District!$A$1)</f>
        <v>Net Collection from Small Savings in the district of Jalpaiguri</v>
      </c>
      <c r="B2" s="1354"/>
    </row>
    <row r="3" spans="1:3" ht="12" customHeight="1">
      <c r="A3" s="359"/>
      <c r="B3" s="665" t="s">
        <v>1403</v>
      </c>
    </row>
    <row r="4" spans="1:3" ht="16.5" customHeight="1">
      <c r="A4" s="325" t="s">
        <v>98</v>
      </c>
      <c r="B4" s="637" t="s">
        <v>1045</v>
      </c>
    </row>
    <row r="5" spans="1:3" ht="16.5" customHeight="1">
      <c r="A5" s="57" t="s">
        <v>278</v>
      </c>
      <c r="B5" s="58" t="s">
        <v>279</v>
      </c>
    </row>
    <row r="6" spans="1:3" ht="24" customHeight="1">
      <c r="A6" s="320" t="s">
        <v>1110</v>
      </c>
      <c r="B6" s="817">
        <v>1760400</v>
      </c>
    </row>
    <row r="7" spans="1:3" ht="24" customHeight="1">
      <c r="A7" s="91" t="s">
        <v>1111</v>
      </c>
      <c r="B7" s="815">
        <v>1780975</v>
      </c>
    </row>
    <row r="8" spans="1:3" ht="24" customHeight="1">
      <c r="A8" s="52" t="s">
        <v>641</v>
      </c>
      <c r="B8" s="815">
        <v>463000</v>
      </c>
    </row>
    <row r="9" spans="1:3" ht="24" customHeight="1">
      <c r="A9" s="91" t="s">
        <v>909</v>
      </c>
      <c r="B9" s="48">
        <v>366300</v>
      </c>
    </row>
    <row r="10" spans="1:3" ht="24" customHeight="1">
      <c r="A10" s="155" t="s">
        <v>895</v>
      </c>
      <c r="B10" s="43">
        <f>SUM(B12,B20,B25)</f>
        <v>1063000</v>
      </c>
    </row>
    <row r="11" spans="1:3" ht="24" customHeight="1">
      <c r="A11" s="140" t="s">
        <v>846</v>
      </c>
      <c r="B11" s="816" t="str">
        <f>"Year : " &amp; A10</f>
        <v>Year : 2013-14</v>
      </c>
    </row>
    <row r="12" spans="1:3" ht="24" customHeight="1">
      <c r="A12" s="579" t="s">
        <v>11</v>
      </c>
      <c r="B12" s="564">
        <f>SUM(B13:B19)</f>
        <v>601900</v>
      </c>
    </row>
    <row r="13" spans="1:3" ht="24" customHeight="1">
      <c r="A13" s="91" t="s">
        <v>561</v>
      </c>
      <c r="B13" s="48">
        <v>16900</v>
      </c>
    </row>
    <row r="14" spans="1:3" ht="24" customHeight="1">
      <c r="A14" s="91" t="s">
        <v>1149</v>
      </c>
      <c r="B14" s="48">
        <v>45800</v>
      </c>
    </row>
    <row r="15" spans="1:3" ht="24" customHeight="1">
      <c r="A15" s="91" t="s">
        <v>562</v>
      </c>
      <c r="B15" s="48">
        <v>302300</v>
      </c>
    </row>
    <row r="16" spans="1:3" ht="24" customHeight="1">
      <c r="A16" s="91" t="s">
        <v>549</v>
      </c>
      <c r="B16" s="48">
        <v>68600</v>
      </c>
    </row>
    <row r="17" spans="1:2" ht="24" customHeight="1">
      <c r="A17" s="91" t="s">
        <v>550</v>
      </c>
      <c r="B17" s="48">
        <v>72100</v>
      </c>
    </row>
    <row r="18" spans="1:2" ht="24" customHeight="1">
      <c r="A18" s="91" t="s">
        <v>563</v>
      </c>
      <c r="B18" s="48">
        <v>83000</v>
      </c>
    </row>
    <row r="19" spans="1:2" ht="24" customHeight="1">
      <c r="A19" s="91" t="s">
        <v>765</v>
      </c>
      <c r="B19" s="216">
        <v>13200</v>
      </c>
    </row>
    <row r="20" spans="1:2" ht="24" customHeight="1">
      <c r="A20" s="229" t="s">
        <v>15</v>
      </c>
      <c r="B20" s="211">
        <f>SUM(B21:B24)</f>
        <v>79600</v>
      </c>
    </row>
    <row r="21" spans="1:2" ht="24" customHeight="1">
      <c r="A21" s="91" t="s">
        <v>552</v>
      </c>
      <c r="B21" s="48">
        <v>24100</v>
      </c>
    </row>
    <row r="22" spans="1:2" ht="24" customHeight="1">
      <c r="A22" s="91" t="s">
        <v>565</v>
      </c>
      <c r="B22" s="48">
        <v>29600</v>
      </c>
    </row>
    <row r="23" spans="1:2" ht="24" customHeight="1">
      <c r="A23" s="91" t="s">
        <v>553</v>
      </c>
      <c r="B23" s="48">
        <v>14600</v>
      </c>
    </row>
    <row r="24" spans="1:2" ht="24" customHeight="1">
      <c r="A24" s="91" t="s">
        <v>554</v>
      </c>
      <c r="B24" s="48">
        <v>11300</v>
      </c>
    </row>
    <row r="25" spans="1:2" ht="24" customHeight="1">
      <c r="A25" s="229" t="s">
        <v>337</v>
      </c>
      <c r="B25" s="211">
        <f>SUM(B26:B32)</f>
        <v>381500</v>
      </c>
    </row>
    <row r="26" spans="1:2" ht="24" customHeight="1">
      <c r="A26" s="91" t="s">
        <v>555</v>
      </c>
      <c r="B26" s="48">
        <v>13000</v>
      </c>
    </row>
    <row r="27" spans="1:2" ht="24" customHeight="1">
      <c r="A27" s="91" t="s">
        <v>557</v>
      </c>
      <c r="B27" s="48">
        <v>78500</v>
      </c>
    </row>
    <row r="28" spans="1:2" ht="24" customHeight="1">
      <c r="A28" s="91" t="s">
        <v>560</v>
      </c>
      <c r="B28" s="48">
        <v>39200</v>
      </c>
    </row>
    <row r="29" spans="1:2" ht="24" customHeight="1">
      <c r="A29" s="91" t="s">
        <v>566</v>
      </c>
      <c r="B29" s="48">
        <v>37000</v>
      </c>
    </row>
    <row r="30" spans="1:2" ht="24" customHeight="1">
      <c r="A30" s="91" t="s">
        <v>567</v>
      </c>
      <c r="B30" s="48">
        <v>53200</v>
      </c>
    </row>
    <row r="31" spans="1:2" ht="24" customHeight="1">
      <c r="A31" s="91" t="s">
        <v>568</v>
      </c>
      <c r="B31" s="48">
        <v>141000</v>
      </c>
    </row>
    <row r="32" spans="1:2" ht="24" customHeight="1">
      <c r="A32" s="275" t="s">
        <v>569</v>
      </c>
      <c r="B32" s="43">
        <v>19600</v>
      </c>
    </row>
    <row r="33" spans="1:2">
      <c r="A33" s="360"/>
      <c r="B33" s="886" t="s">
        <v>917</v>
      </c>
    </row>
    <row r="34" spans="1:2">
      <c r="A34" s="359"/>
      <c r="B34" s="359"/>
    </row>
  </sheetData>
  <mergeCells count="2">
    <mergeCell ref="A1:B1"/>
    <mergeCell ref="A2:B2"/>
  </mergeCells>
  <phoneticPr fontId="0" type="noConversion"/>
  <printOptions horizontalCentered="1"/>
  <pageMargins left="0.1" right="0.1" top="0.74" bottom="0.1" header="0.5" footer="0.1"/>
  <pageSetup paperSize="9" orientation="portrait" blackAndWhite="1" r:id="rId1"/>
  <headerFooter alignWithMargins="0"/>
</worksheet>
</file>

<file path=xl/worksheets/sheet72.xml><?xml version="1.0" encoding="utf-8"?>
<worksheet xmlns="http://schemas.openxmlformats.org/spreadsheetml/2006/main" xmlns:r="http://schemas.openxmlformats.org/officeDocument/2006/relationships">
  <sheetPr codeName="Sheet77"/>
  <dimension ref="A1"/>
  <sheetViews>
    <sheetView workbookViewId="0">
      <selection activeCell="M14" sqref="M14"/>
    </sheetView>
  </sheetViews>
  <sheetFormatPr defaultRowHeight="12.75"/>
  <sheetData/>
  <phoneticPr fontId="120" type="noConversion"/>
  <pageMargins left="0.75" right="0.75" top="1" bottom="1" header="0.5" footer="0.5"/>
  <pageSetup paperSize="9" orientation="portrait" r:id="rId1"/>
  <headerFooter alignWithMargins="0"/>
  <drawing r:id="rId2"/>
</worksheet>
</file>

<file path=xl/worksheets/sheet73.xml><?xml version="1.0" encoding="utf-8"?>
<worksheet xmlns="http://schemas.openxmlformats.org/spreadsheetml/2006/main" xmlns:r="http://schemas.openxmlformats.org/officeDocument/2006/relationships">
  <sheetPr codeName="Sheet79"/>
  <dimension ref="A1:G38"/>
  <sheetViews>
    <sheetView workbookViewId="0">
      <selection activeCell="J15" sqref="J15"/>
    </sheetView>
  </sheetViews>
  <sheetFormatPr defaultRowHeight="12.75"/>
  <cols>
    <col min="1" max="1" width="5.7109375" customWidth="1"/>
    <col min="2" max="2" width="18.42578125" customWidth="1"/>
    <col min="3" max="3" width="22.85546875" customWidth="1"/>
    <col min="4" max="4" width="14" customWidth="1"/>
    <col min="5" max="5" width="12.42578125" customWidth="1"/>
    <col min="6" max="6" width="12.28515625" customWidth="1"/>
    <col min="7" max="7" width="25.85546875" customWidth="1"/>
  </cols>
  <sheetData>
    <row r="1" spans="1:7" ht="17.25" customHeight="1">
      <c r="A1" s="1286" t="s">
        <v>491</v>
      </c>
      <c r="B1" s="1286"/>
      <c r="C1" s="1286"/>
      <c r="D1" s="1286"/>
      <c r="E1" s="1286"/>
      <c r="F1" s="1286"/>
      <c r="G1" s="1286"/>
    </row>
    <row r="2" spans="1:7" ht="19.5" customHeight="1">
      <c r="A2" s="1287" t="str">
        <f>CONCATENATE("Some Basic Statistics about the Blocks of ",District!$A$1, " for the year " &amp; District!C2)</f>
        <v>Some Basic Statistics about the Blocks of Jalpaiguri for the year 2013-14</v>
      </c>
      <c r="B2" s="1287"/>
      <c r="C2" s="1287"/>
      <c r="D2" s="1287"/>
      <c r="E2" s="1287"/>
      <c r="F2" s="1287"/>
      <c r="G2" s="1287"/>
    </row>
    <row r="3" spans="1:7" ht="27.75" customHeight="1">
      <c r="A3" s="123" t="s">
        <v>1382</v>
      </c>
      <c r="B3" s="123" t="s">
        <v>38</v>
      </c>
      <c r="C3" s="123" t="s">
        <v>1314</v>
      </c>
      <c r="D3" s="123" t="s">
        <v>202</v>
      </c>
      <c r="E3" s="123" t="s">
        <v>203</v>
      </c>
      <c r="F3" s="123" t="s">
        <v>204</v>
      </c>
      <c r="G3" s="123" t="s">
        <v>205</v>
      </c>
    </row>
    <row r="4" spans="1:7" ht="18" customHeight="1">
      <c r="A4" s="59" t="s">
        <v>278</v>
      </c>
      <c r="B4" s="57" t="s">
        <v>279</v>
      </c>
      <c r="C4" s="57" t="s">
        <v>280</v>
      </c>
      <c r="D4" s="57" t="s">
        <v>281</v>
      </c>
      <c r="E4" s="57" t="s">
        <v>282</v>
      </c>
      <c r="F4" s="57" t="s">
        <v>283</v>
      </c>
      <c r="G4" s="57" t="s">
        <v>284</v>
      </c>
    </row>
    <row r="5" spans="1:7" ht="27.95" customHeight="1">
      <c r="A5" s="320">
        <v>1</v>
      </c>
      <c r="B5" s="320" t="s">
        <v>561</v>
      </c>
      <c r="C5" s="49">
        <v>28</v>
      </c>
      <c r="D5" s="49">
        <v>74</v>
      </c>
      <c r="E5" s="49">
        <v>47</v>
      </c>
      <c r="F5" s="49">
        <v>53</v>
      </c>
      <c r="G5" s="290">
        <v>12</v>
      </c>
    </row>
    <row r="6" spans="1:7" ht="27.95" customHeight="1">
      <c r="A6" s="91">
        <f t="shared" ref="A6:A11" si="0">A5+1</f>
        <v>2</v>
      </c>
      <c r="B6" s="91" t="s">
        <v>1149</v>
      </c>
      <c r="C6" s="52">
        <v>29</v>
      </c>
      <c r="D6" s="52">
        <v>171</v>
      </c>
      <c r="E6" s="52">
        <v>79</v>
      </c>
      <c r="F6" s="52">
        <v>71</v>
      </c>
      <c r="G6" s="48">
        <v>14</v>
      </c>
    </row>
    <row r="7" spans="1:7" ht="27.95" customHeight="1">
      <c r="A7" s="91">
        <f t="shared" si="0"/>
        <v>3</v>
      </c>
      <c r="B7" s="91" t="s">
        <v>549</v>
      </c>
      <c r="C7" s="52">
        <v>76</v>
      </c>
      <c r="D7" s="52">
        <v>194</v>
      </c>
      <c r="E7" s="52">
        <v>87</v>
      </c>
      <c r="F7" s="52">
        <v>60</v>
      </c>
      <c r="G7" s="48">
        <v>16</v>
      </c>
    </row>
    <row r="8" spans="1:7" ht="27.95" customHeight="1">
      <c r="A8" s="91">
        <f t="shared" si="0"/>
        <v>4</v>
      </c>
      <c r="B8" s="91" t="s">
        <v>820</v>
      </c>
      <c r="C8" s="52">
        <v>99</v>
      </c>
      <c r="D8" s="52">
        <v>199</v>
      </c>
      <c r="E8" s="52">
        <v>84</v>
      </c>
      <c r="F8" s="52">
        <v>78</v>
      </c>
      <c r="G8" s="48">
        <v>16</v>
      </c>
    </row>
    <row r="9" spans="1:7" ht="27.95" customHeight="1">
      <c r="A9" s="91">
        <f t="shared" si="0"/>
        <v>5</v>
      </c>
      <c r="B9" s="91" t="s">
        <v>552</v>
      </c>
      <c r="C9" s="52">
        <v>100</v>
      </c>
      <c r="D9" s="52">
        <v>69</v>
      </c>
      <c r="E9" s="52">
        <v>23</v>
      </c>
      <c r="F9" s="52">
        <v>54</v>
      </c>
      <c r="G9" s="48">
        <v>12</v>
      </c>
    </row>
    <row r="10" spans="1:7" ht="27.95" customHeight="1">
      <c r="A10" s="91">
        <f t="shared" si="0"/>
        <v>6</v>
      </c>
      <c r="B10" s="91" t="s">
        <v>553</v>
      </c>
      <c r="C10" s="52">
        <v>30</v>
      </c>
      <c r="D10" s="52">
        <v>14</v>
      </c>
      <c r="E10" s="52">
        <v>3</v>
      </c>
      <c r="F10" s="52">
        <v>16</v>
      </c>
      <c r="G10" s="48">
        <v>5</v>
      </c>
    </row>
    <row r="11" spans="1:7" ht="27.95" customHeight="1">
      <c r="A11" s="91">
        <f t="shared" si="0"/>
        <v>7</v>
      </c>
      <c r="B11" s="91" t="s">
        <v>554</v>
      </c>
      <c r="C11" s="52">
        <v>29</v>
      </c>
      <c r="D11" s="52">
        <v>11</v>
      </c>
      <c r="E11" s="52">
        <v>3</v>
      </c>
      <c r="F11" s="52">
        <v>30</v>
      </c>
      <c r="G11" s="48">
        <v>5</v>
      </c>
    </row>
    <row r="12" spans="1:7" ht="27.95" customHeight="1">
      <c r="A12" s="91">
        <v>8</v>
      </c>
      <c r="B12" s="91" t="s">
        <v>555</v>
      </c>
      <c r="C12" s="52">
        <v>45</v>
      </c>
      <c r="D12" s="52">
        <v>64</v>
      </c>
      <c r="E12" s="52">
        <v>39</v>
      </c>
      <c r="F12" s="52">
        <v>49</v>
      </c>
      <c r="G12" s="48">
        <v>11</v>
      </c>
    </row>
    <row r="13" spans="1:7" ht="27.95" customHeight="1">
      <c r="A13" s="91">
        <v>9</v>
      </c>
      <c r="B13" s="91" t="s">
        <v>557</v>
      </c>
      <c r="C13" s="52">
        <v>63</v>
      </c>
      <c r="D13" s="52">
        <v>162</v>
      </c>
      <c r="E13" s="52">
        <v>60</v>
      </c>
      <c r="F13" s="52">
        <v>48</v>
      </c>
      <c r="G13" s="48">
        <v>12</v>
      </c>
    </row>
    <row r="14" spans="1:7" ht="27.95" customHeight="1">
      <c r="A14" s="91">
        <v>10</v>
      </c>
      <c r="B14" s="91" t="s">
        <v>560</v>
      </c>
      <c r="C14" s="52">
        <v>43</v>
      </c>
      <c r="D14" s="52">
        <v>14</v>
      </c>
      <c r="E14" s="52">
        <v>10</v>
      </c>
      <c r="F14" s="52">
        <v>45</v>
      </c>
      <c r="G14" s="48">
        <v>10</v>
      </c>
    </row>
    <row r="15" spans="1:7" ht="27.95" customHeight="1">
      <c r="A15" s="91">
        <v>11</v>
      </c>
      <c r="B15" s="91" t="s">
        <v>566</v>
      </c>
      <c r="C15" s="52">
        <v>38</v>
      </c>
      <c r="D15" s="52">
        <v>7</v>
      </c>
      <c r="E15" s="52">
        <v>7</v>
      </c>
      <c r="F15" s="52">
        <v>76</v>
      </c>
      <c r="G15" s="48">
        <v>11</v>
      </c>
    </row>
    <row r="16" spans="1:7" ht="27.95" customHeight="1">
      <c r="A16" s="91">
        <v>12</v>
      </c>
      <c r="B16" s="91" t="s">
        <v>567</v>
      </c>
      <c r="C16" s="52">
        <v>45</v>
      </c>
      <c r="D16" s="52">
        <v>97</v>
      </c>
      <c r="E16" s="52">
        <v>44</v>
      </c>
      <c r="F16" s="52">
        <v>67</v>
      </c>
      <c r="G16" s="48">
        <v>11</v>
      </c>
    </row>
    <row r="17" spans="1:7" ht="27.95" customHeight="1">
      <c r="A17" s="275">
        <f>A16+1</f>
        <v>13</v>
      </c>
      <c r="B17" s="275" t="s">
        <v>569</v>
      </c>
      <c r="C17" s="155">
        <v>76</v>
      </c>
      <c r="D17" s="155">
        <v>104</v>
      </c>
      <c r="E17" s="155">
        <v>49</v>
      </c>
      <c r="F17" s="155">
        <v>69</v>
      </c>
      <c r="G17" s="43">
        <v>11</v>
      </c>
    </row>
    <row r="18" spans="1:7" ht="12.75" customHeight="1">
      <c r="A18" s="359"/>
      <c r="B18" s="359"/>
      <c r="E18" s="886" t="s">
        <v>573</v>
      </c>
      <c r="F18" s="314" t="s">
        <v>1316</v>
      </c>
      <c r="G18" s="878"/>
    </row>
    <row r="19" spans="1:7" ht="12.75" customHeight="1">
      <c r="A19" s="359"/>
      <c r="B19" s="359"/>
      <c r="E19" s="886"/>
      <c r="F19" s="878" t="s">
        <v>1315</v>
      </c>
      <c r="G19" s="500"/>
    </row>
    <row r="20" spans="1:7" ht="12.75" customHeight="1">
      <c r="E20" s="56"/>
      <c r="F20" s="55"/>
    </row>
    <row r="21" spans="1:7" ht="12.75" customHeight="1">
      <c r="B21" s="54"/>
      <c r="E21" s="54"/>
      <c r="F21" s="408"/>
      <c r="G21" s="54"/>
    </row>
    <row r="22" spans="1:7" ht="20.100000000000001" customHeight="1">
      <c r="A22" s="55"/>
      <c r="B22" s="55"/>
      <c r="C22" s="55"/>
      <c r="E22" s="55"/>
      <c r="F22" s="55"/>
      <c r="G22" s="55"/>
    </row>
    <row r="23" spans="1:7" ht="20.100000000000001" customHeight="1"/>
    <row r="24" spans="1:7" ht="20.100000000000001" customHeight="1"/>
    <row r="25" spans="1:7" ht="20.100000000000001" customHeight="1"/>
    <row r="38" spans="1:7">
      <c r="A38" s="1"/>
      <c r="B38" s="1"/>
      <c r="C38" s="1"/>
      <c r="D38" s="1"/>
      <c r="E38" s="1"/>
      <c r="F38" s="1"/>
      <c r="G38" s="1"/>
    </row>
  </sheetData>
  <mergeCells count="2">
    <mergeCell ref="A1:G1"/>
    <mergeCell ref="A2:G2"/>
  </mergeCells>
  <phoneticPr fontId="0" type="noConversion"/>
  <printOptions horizontalCentered="1"/>
  <pageMargins left="0.1" right="0.1" top="0.8" bottom="0.1" header="0.5" footer="0.1"/>
  <pageSetup paperSize="9" orientation="landscape" blackAndWhite="1" horizontalDpi="4294967295" r:id="rId1"/>
  <headerFooter alignWithMargins="0"/>
</worksheet>
</file>

<file path=xl/worksheets/sheet74.xml><?xml version="1.0" encoding="utf-8"?>
<worksheet xmlns="http://schemas.openxmlformats.org/spreadsheetml/2006/main" xmlns:r="http://schemas.openxmlformats.org/officeDocument/2006/relationships">
  <sheetPr codeName="Sheet4"/>
  <dimension ref="A1:S40"/>
  <sheetViews>
    <sheetView workbookViewId="0">
      <selection activeCell="J15" sqref="J15"/>
    </sheetView>
  </sheetViews>
  <sheetFormatPr defaultRowHeight="12.75"/>
  <cols>
    <col min="1" max="1" width="3.28515625" customWidth="1"/>
    <col min="2" max="2" width="10.42578125" customWidth="1"/>
    <col min="3" max="3" width="8.28515625" customWidth="1"/>
    <col min="4" max="4" width="8.140625" customWidth="1"/>
    <col min="5" max="5" width="6.85546875" customWidth="1"/>
    <col min="6" max="6" width="8" customWidth="1"/>
    <col min="7" max="7" width="7.5703125" customWidth="1"/>
    <col min="8" max="8" width="8" customWidth="1"/>
    <col min="9" max="9" width="6.7109375" customWidth="1"/>
    <col min="10" max="10" width="6.85546875" customWidth="1"/>
    <col min="11" max="11" width="7.7109375" customWidth="1"/>
    <col min="12" max="13" width="7.28515625" customWidth="1"/>
    <col min="14" max="14" width="7.140625" customWidth="1"/>
    <col min="15" max="15" width="7.28515625" customWidth="1"/>
    <col min="16" max="16" width="7.140625" customWidth="1"/>
    <col min="17" max="17" width="7.42578125" customWidth="1"/>
    <col min="18" max="18" width="8.140625" customWidth="1"/>
    <col min="19" max="19" width="7.85546875" customWidth="1"/>
  </cols>
  <sheetData>
    <row r="1" spans="1:19">
      <c r="A1" s="1393" t="s">
        <v>492</v>
      </c>
      <c r="B1" s="1393"/>
      <c r="C1" s="1393"/>
      <c r="D1" s="1393"/>
      <c r="E1" s="1393"/>
      <c r="F1" s="1393"/>
      <c r="G1" s="1393"/>
      <c r="H1" s="1393"/>
      <c r="I1" s="1393"/>
      <c r="J1" s="1393"/>
      <c r="K1" s="1393"/>
      <c r="L1" s="1393"/>
      <c r="M1" s="1393"/>
      <c r="N1" s="1393"/>
      <c r="O1" s="1393"/>
      <c r="P1" s="1393"/>
      <c r="Q1" s="1393"/>
      <c r="R1" s="1393"/>
      <c r="S1" s="1393"/>
    </row>
    <row r="2" spans="1:19" ht="16.5">
      <c r="A2" s="1394" t="str">
        <f>CONCATENATE("Population by religion in the Blocks of ",District!$A$1,)</f>
        <v>Population by religion in the Blocks of Jalpaiguri</v>
      </c>
      <c r="B2" s="1394"/>
      <c r="C2" s="1394"/>
      <c r="D2" s="1394"/>
      <c r="E2" s="1394"/>
      <c r="F2" s="1394"/>
      <c r="G2" s="1394"/>
      <c r="H2" s="1394"/>
      <c r="I2" s="1394"/>
      <c r="J2" s="1394"/>
      <c r="K2" s="1394"/>
      <c r="L2" s="1394"/>
      <c r="M2" s="1394"/>
      <c r="N2" s="1394"/>
      <c r="O2" s="1394"/>
      <c r="P2" s="1394"/>
      <c r="Q2" s="1394"/>
      <c r="R2" s="1394"/>
      <c r="S2" s="1394"/>
    </row>
    <row r="3" spans="1:19">
      <c r="A3" s="13"/>
      <c r="B3" s="13"/>
      <c r="C3" s="13"/>
      <c r="D3" s="13"/>
      <c r="E3" s="13"/>
      <c r="F3" s="13"/>
      <c r="G3" s="13"/>
      <c r="H3" s="13"/>
      <c r="I3" s="13"/>
      <c r="J3" s="13"/>
      <c r="K3" s="13"/>
      <c r="L3" s="13"/>
      <c r="M3" s="13"/>
      <c r="N3" s="13"/>
      <c r="O3" s="13"/>
      <c r="P3" s="13"/>
      <c r="Q3" s="1858" t="s">
        <v>873</v>
      </c>
      <c r="R3" s="1858"/>
      <c r="S3" s="1858"/>
    </row>
    <row r="4" spans="1:19" ht="12.75" customHeight="1">
      <c r="A4" s="1856" t="s">
        <v>1499</v>
      </c>
      <c r="B4" s="1299" t="s">
        <v>38</v>
      </c>
      <c r="C4" s="1299" t="s">
        <v>579</v>
      </c>
      <c r="D4" s="1445" t="s">
        <v>1527</v>
      </c>
      <c r="E4" s="1446"/>
      <c r="F4" s="1445" t="s">
        <v>1528</v>
      </c>
      <c r="G4" s="1446"/>
      <c r="H4" s="1444" t="s">
        <v>1529</v>
      </c>
      <c r="I4" s="1444"/>
      <c r="J4" s="1445" t="s">
        <v>1530</v>
      </c>
      <c r="K4" s="1446"/>
      <c r="L4" s="1444" t="s">
        <v>1531</v>
      </c>
      <c r="M4" s="1444"/>
      <c r="N4" s="1445" t="s">
        <v>1532</v>
      </c>
      <c r="O4" s="1446"/>
      <c r="P4" s="1444" t="s">
        <v>545</v>
      </c>
      <c r="Q4" s="1444"/>
      <c r="R4" s="1445" t="s">
        <v>793</v>
      </c>
      <c r="S4" s="1446"/>
    </row>
    <row r="5" spans="1:19" ht="65.25" customHeight="1">
      <c r="A5" s="1857"/>
      <c r="B5" s="1301"/>
      <c r="C5" s="1302"/>
      <c r="D5" s="373" t="s">
        <v>1384</v>
      </c>
      <c r="E5" s="856" t="s">
        <v>707</v>
      </c>
      <c r="F5" s="373" t="s">
        <v>1384</v>
      </c>
      <c r="G5" s="856" t="s">
        <v>707</v>
      </c>
      <c r="H5" s="373" t="s">
        <v>1384</v>
      </c>
      <c r="I5" s="856" t="s">
        <v>707</v>
      </c>
      <c r="J5" s="373" t="s">
        <v>1384</v>
      </c>
      <c r="K5" s="856" t="s">
        <v>707</v>
      </c>
      <c r="L5" s="373" t="s">
        <v>1384</v>
      </c>
      <c r="M5" s="856" t="s">
        <v>707</v>
      </c>
      <c r="N5" s="373" t="s">
        <v>1384</v>
      </c>
      <c r="O5" s="856" t="s">
        <v>707</v>
      </c>
      <c r="P5" s="373" t="s">
        <v>1384</v>
      </c>
      <c r="Q5" s="856" t="s">
        <v>707</v>
      </c>
      <c r="R5" s="373" t="s">
        <v>1384</v>
      </c>
      <c r="S5" s="856" t="s">
        <v>707</v>
      </c>
    </row>
    <row r="6" spans="1:19" ht="15.75" customHeight="1">
      <c r="A6" s="92" t="s">
        <v>278</v>
      </c>
      <c r="B6" s="57" t="s">
        <v>279</v>
      </c>
      <c r="C6" s="57" t="s">
        <v>280</v>
      </c>
      <c r="D6" s="88" t="s">
        <v>281</v>
      </c>
      <c r="E6" s="137" t="s">
        <v>282</v>
      </c>
      <c r="F6" s="87" t="s">
        <v>283</v>
      </c>
      <c r="G6" s="57" t="s">
        <v>284</v>
      </c>
      <c r="H6" s="57" t="s">
        <v>301</v>
      </c>
      <c r="I6" s="87" t="s">
        <v>302</v>
      </c>
      <c r="J6" s="57" t="s">
        <v>303</v>
      </c>
      <c r="K6" s="87" t="s">
        <v>304</v>
      </c>
      <c r="L6" s="57" t="s">
        <v>344</v>
      </c>
      <c r="M6" s="87" t="s">
        <v>345</v>
      </c>
      <c r="N6" s="57" t="s">
        <v>346</v>
      </c>
      <c r="O6" s="87" t="s">
        <v>347</v>
      </c>
      <c r="P6" s="57" t="s">
        <v>348</v>
      </c>
      <c r="Q6" s="87" t="s">
        <v>349</v>
      </c>
      <c r="R6" s="57" t="s">
        <v>351</v>
      </c>
      <c r="S6" s="58" t="s">
        <v>350</v>
      </c>
    </row>
    <row r="7" spans="1:19" ht="14.25" customHeight="1">
      <c r="A7" s="1611">
        <v>1</v>
      </c>
      <c r="B7" s="1853" t="s">
        <v>561</v>
      </c>
      <c r="C7" s="529">
        <v>2001</v>
      </c>
      <c r="D7" s="984">
        <v>222814</v>
      </c>
      <c r="E7" s="985">
        <f t="shared" ref="E7:E27" si="0">IF(D7="-","-",ROUND(D7/$R7*100,2))</f>
        <v>78.459999999999994</v>
      </c>
      <c r="F7" s="984">
        <v>57280</v>
      </c>
      <c r="G7" s="985">
        <f>IF(F7="-","-",ROUND(F7/$R7*100,2))</f>
        <v>20.170000000000002</v>
      </c>
      <c r="H7" s="721">
        <v>2920</v>
      </c>
      <c r="I7" s="986">
        <f t="shared" ref="I7:I16" si="1">IF(H7="-","-",ROUND(H7/$R7*100,2))</f>
        <v>1.03</v>
      </c>
      <c r="J7" s="529">
        <v>101</v>
      </c>
      <c r="K7" s="986">
        <f t="shared" ref="K7:K12" si="2">IF(J7="-","-",ROUND(J7/$R7*100,2))</f>
        <v>0.04</v>
      </c>
      <c r="L7" s="529">
        <v>708</v>
      </c>
      <c r="M7" s="986">
        <f t="shared" ref="M7:M30" si="3">IF(L7="-","-",ROUND(L7/$R7*100,2))</f>
        <v>0.25</v>
      </c>
      <c r="N7" s="529">
        <v>2</v>
      </c>
      <c r="O7" s="986">
        <f t="shared" ref="O7:O26" si="4">IF(N7="-","-",ROUND(N7/$R7*100,2))</f>
        <v>0</v>
      </c>
      <c r="P7" s="529">
        <v>142</v>
      </c>
      <c r="Q7" s="986">
        <f>IF(P7="-","-",ROUND(P7/$R7*100,2))</f>
        <v>0.05</v>
      </c>
      <c r="R7" s="529">
        <f t="shared" ref="R7:S30" si="5">SUM(D7,F7,H7,J7,L7,N7,P7)</f>
        <v>283967</v>
      </c>
      <c r="S7" s="195">
        <f t="shared" si="5"/>
        <v>100</v>
      </c>
    </row>
    <row r="8" spans="1:19" ht="14.25" customHeight="1">
      <c r="A8" s="1616"/>
      <c r="B8" s="1854"/>
      <c r="C8" s="427">
        <v>1991</v>
      </c>
      <c r="D8" s="243">
        <v>263555</v>
      </c>
      <c r="E8" s="987">
        <f t="shared" si="0"/>
        <v>83.91</v>
      </c>
      <c r="F8" s="243">
        <v>46598</v>
      </c>
      <c r="G8" s="987">
        <f>IF(F8="-","-",ROUND(F8/$R8*100,2))</f>
        <v>14.84</v>
      </c>
      <c r="H8" s="430">
        <v>2149</v>
      </c>
      <c r="I8" s="988">
        <f t="shared" si="1"/>
        <v>0.68</v>
      </c>
      <c r="J8" s="427">
        <v>593</v>
      </c>
      <c r="K8" s="988">
        <f t="shared" si="2"/>
        <v>0.19</v>
      </c>
      <c r="L8" s="427">
        <v>1119</v>
      </c>
      <c r="M8" s="988">
        <f t="shared" si="3"/>
        <v>0.36</v>
      </c>
      <c r="N8" s="427">
        <v>73</v>
      </c>
      <c r="O8" s="988">
        <f t="shared" si="4"/>
        <v>0.02</v>
      </c>
      <c r="P8" s="427">
        <v>18</v>
      </c>
      <c r="Q8" s="988">
        <f>IF(P8="-","-",ROUND(P8/$R8*100,2))-0.01</f>
        <v>0</v>
      </c>
      <c r="R8" s="427">
        <f t="shared" si="5"/>
        <v>314105</v>
      </c>
      <c r="S8" s="207">
        <f t="shared" si="5"/>
        <v>100</v>
      </c>
    </row>
    <row r="9" spans="1:19" ht="14.25" customHeight="1">
      <c r="A9" s="1611">
        <v>2</v>
      </c>
      <c r="B9" s="1853" t="s">
        <v>1149</v>
      </c>
      <c r="C9" s="529">
        <v>2001</v>
      </c>
      <c r="D9" s="984">
        <v>236013</v>
      </c>
      <c r="E9" s="985">
        <f t="shared" si="0"/>
        <v>84.01</v>
      </c>
      <c r="F9" s="984">
        <v>40519</v>
      </c>
      <c r="G9" s="985">
        <f>IF(F9="-","-",ROUND(F9/$R9*100,2))</f>
        <v>14.42</v>
      </c>
      <c r="H9" s="721">
        <v>4040</v>
      </c>
      <c r="I9" s="986">
        <f t="shared" si="1"/>
        <v>1.44</v>
      </c>
      <c r="J9" s="529">
        <v>73</v>
      </c>
      <c r="K9" s="986">
        <f t="shared" si="2"/>
        <v>0.03</v>
      </c>
      <c r="L9" s="529">
        <v>223</v>
      </c>
      <c r="M9" s="986">
        <f t="shared" si="3"/>
        <v>0.08</v>
      </c>
      <c r="N9" s="529">
        <v>1</v>
      </c>
      <c r="O9" s="986">
        <f t="shared" si="4"/>
        <v>0</v>
      </c>
      <c r="P9" s="529">
        <v>58</v>
      </c>
      <c r="Q9" s="986">
        <f t="shared" ref="Q9:Q30" si="6">IF(P9="-","-",ROUND(P9/$R9*100,2))</f>
        <v>0.02</v>
      </c>
      <c r="R9" s="529">
        <f t="shared" si="5"/>
        <v>280927</v>
      </c>
      <c r="S9" s="195">
        <f t="shared" si="5"/>
        <v>100</v>
      </c>
    </row>
    <row r="10" spans="1:19" ht="14.25" customHeight="1">
      <c r="A10" s="1616"/>
      <c r="B10" s="1854"/>
      <c r="C10" s="427">
        <v>1991</v>
      </c>
      <c r="D10" s="243">
        <v>225531</v>
      </c>
      <c r="E10" s="987">
        <f t="shared" si="0"/>
        <v>86.29</v>
      </c>
      <c r="F10" s="243">
        <v>32661</v>
      </c>
      <c r="G10" s="987">
        <f>IF(F10="-","-",ROUND(F10/$R10*100,2))-0.01</f>
        <v>12.49</v>
      </c>
      <c r="H10" s="430">
        <v>3085</v>
      </c>
      <c r="I10" s="988">
        <f t="shared" si="1"/>
        <v>1.18</v>
      </c>
      <c r="J10" s="427">
        <v>27</v>
      </c>
      <c r="K10" s="988">
        <f t="shared" si="2"/>
        <v>0.01</v>
      </c>
      <c r="L10" s="427">
        <v>56</v>
      </c>
      <c r="M10" s="988">
        <f t="shared" si="3"/>
        <v>0.02</v>
      </c>
      <c r="N10" s="427" t="s">
        <v>570</v>
      </c>
      <c r="O10" s="988" t="str">
        <f t="shared" si="4"/>
        <v>-</v>
      </c>
      <c r="P10" s="427">
        <v>19</v>
      </c>
      <c r="Q10" s="988">
        <f t="shared" si="6"/>
        <v>0.01</v>
      </c>
      <c r="R10" s="427">
        <f t="shared" si="5"/>
        <v>261379</v>
      </c>
      <c r="S10" s="207">
        <f t="shared" si="5"/>
        <v>100.00000000000001</v>
      </c>
    </row>
    <row r="11" spans="1:19" ht="14.25" customHeight="1">
      <c r="A11" s="1611">
        <v>3</v>
      </c>
      <c r="B11" s="1853" t="s">
        <v>549</v>
      </c>
      <c r="C11" s="529">
        <v>2001</v>
      </c>
      <c r="D11" s="984">
        <v>254735</v>
      </c>
      <c r="E11" s="985">
        <f t="shared" si="0"/>
        <v>90.43</v>
      </c>
      <c r="F11" s="984">
        <v>26281</v>
      </c>
      <c r="G11" s="985">
        <f t="shared" ref="G11:G21" si="7">IF(F11="-","-",ROUND(F11/$R11*100,2))</f>
        <v>9.33</v>
      </c>
      <c r="H11" s="721">
        <v>52</v>
      </c>
      <c r="I11" s="986">
        <f t="shared" si="1"/>
        <v>0.02</v>
      </c>
      <c r="J11" s="529">
        <v>29</v>
      </c>
      <c r="K11" s="986">
        <f t="shared" si="2"/>
        <v>0.01</v>
      </c>
      <c r="L11" s="529">
        <v>313</v>
      </c>
      <c r="M11" s="986">
        <f t="shared" si="3"/>
        <v>0.11</v>
      </c>
      <c r="N11" s="529">
        <v>57</v>
      </c>
      <c r="O11" s="986">
        <f t="shared" si="4"/>
        <v>0.02</v>
      </c>
      <c r="P11" s="529">
        <v>233</v>
      </c>
      <c r="Q11" s="986">
        <f t="shared" si="6"/>
        <v>0.08</v>
      </c>
      <c r="R11" s="529">
        <f t="shared" si="5"/>
        <v>281700</v>
      </c>
      <c r="S11" s="195">
        <f t="shared" si="5"/>
        <v>100</v>
      </c>
    </row>
    <row r="12" spans="1:19" ht="14.25" customHeight="1">
      <c r="A12" s="1616"/>
      <c r="B12" s="1854"/>
      <c r="C12" s="427">
        <v>1991</v>
      </c>
      <c r="D12" s="243">
        <v>215773</v>
      </c>
      <c r="E12" s="987">
        <f t="shared" si="0"/>
        <v>90.6</v>
      </c>
      <c r="F12" s="243">
        <v>22119</v>
      </c>
      <c r="G12" s="987">
        <f t="shared" si="7"/>
        <v>9.2899999999999991</v>
      </c>
      <c r="H12" s="430">
        <v>61</v>
      </c>
      <c r="I12" s="988">
        <f t="shared" si="1"/>
        <v>0.03</v>
      </c>
      <c r="J12" s="427">
        <v>7</v>
      </c>
      <c r="K12" s="988">
        <f t="shared" si="2"/>
        <v>0</v>
      </c>
      <c r="L12" s="427">
        <v>143</v>
      </c>
      <c r="M12" s="988">
        <f t="shared" si="3"/>
        <v>0.06</v>
      </c>
      <c r="N12" s="427">
        <v>48</v>
      </c>
      <c r="O12" s="988">
        <f t="shared" si="4"/>
        <v>0.02</v>
      </c>
      <c r="P12" s="427">
        <v>4</v>
      </c>
      <c r="Q12" s="988">
        <f t="shared" si="6"/>
        <v>0</v>
      </c>
      <c r="R12" s="427">
        <f t="shared" si="5"/>
        <v>238155</v>
      </c>
      <c r="S12" s="207">
        <f t="shared" si="5"/>
        <v>99.999999999999986</v>
      </c>
    </row>
    <row r="13" spans="1:19" ht="14.25" customHeight="1">
      <c r="A13" s="1611">
        <v>4</v>
      </c>
      <c r="B13" s="1853" t="s">
        <v>550</v>
      </c>
      <c r="C13" s="529">
        <v>2001</v>
      </c>
      <c r="D13" s="984">
        <v>341869</v>
      </c>
      <c r="E13" s="985">
        <f t="shared" si="0"/>
        <v>81.7</v>
      </c>
      <c r="F13" s="984">
        <v>56292</v>
      </c>
      <c r="G13" s="985">
        <f t="shared" si="7"/>
        <v>13.45</v>
      </c>
      <c r="H13" s="721">
        <v>16184</v>
      </c>
      <c r="I13" s="986">
        <f t="shared" si="1"/>
        <v>3.87</v>
      </c>
      <c r="J13" s="529">
        <v>372</v>
      </c>
      <c r="K13" s="986">
        <f>IF(J13="-","-",ROUND(J13/$R13*100,2))-0.01</f>
        <v>0.08</v>
      </c>
      <c r="L13" s="529">
        <v>3244</v>
      </c>
      <c r="M13" s="986">
        <f t="shared" si="3"/>
        <v>0.78</v>
      </c>
      <c r="N13" s="529">
        <v>110</v>
      </c>
      <c r="O13" s="986">
        <f t="shared" si="4"/>
        <v>0.03</v>
      </c>
      <c r="P13" s="529">
        <v>390</v>
      </c>
      <c r="Q13" s="986">
        <f t="shared" si="6"/>
        <v>0.09</v>
      </c>
      <c r="R13" s="529">
        <f t="shared" si="5"/>
        <v>418461</v>
      </c>
      <c r="S13" s="195">
        <f t="shared" si="5"/>
        <v>100.00000000000001</v>
      </c>
    </row>
    <row r="14" spans="1:19" ht="14.25" customHeight="1">
      <c r="A14" s="1616"/>
      <c r="B14" s="1854"/>
      <c r="C14" s="427">
        <v>1991</v>
      </c>
      <c r="D14" s="243">
        <v>290906</v>
      </c>
      <c r="E14" s="987">
        <f t="shared" si="0"/>
        <v>84.23</v>
      </c>
      <c r="F14" s="243">
        <v>38292</v>
      </c>
      <c r="G14" s="987">
        <f t="shared" si="7"/>
        <v>11.09</v>
      </c>
      <c r="H14" s="430">
        <v>13625</v>
      </c>
      <c r="I14" s="988">
        <f t="shared" si="1"/>
        <v>3.95</v>
      </c>
      <c r="J14" s="427">
        <v>119</v>
      </c>
      <c r="K14" s="988">
        <f t="shared" ref="K14:K20" si="8">IF(J14="-","-",ROUND(J14/$R14*100,2))</f>
        <v>0.03</v>
      </c>
      <c r="L14" s="427">
        <v>1935</v>
      </c>
      <c r="M14" s="988">
        <f t="shared" si="3"/>
        <v>0.56000000000000005</v>
      </c>
      <c r="N14" s="427">
        <v>119</v>
      </c>
      <c r="O14" s="988">
        <f t="shared" si="4"/>
        <v>0.03</v>
      </c>
      <c r="P14" s="427">
        <v>363</v>
      </c>
      <c r="Q14" s="988">
        <f t="shared" si="6"/>
        <v>0.11</v>
      </c>
      <c r="R14" s="427">
        <f t="shared" si="5"/>
        <v>345359</v>
      </c>
      <c r="S14" s="207">
        <f t="shared" si="5"/>
        <v>100.00000000000001</v>
      </c>
    </row>
    <row r="15" spans="1:19" ht="14.25" customHeight="1">
      <c r="A15" s="1611">
        <v>5</v>
      </c>
      <c r="B15" s="1853" t="s">
        <v>552</v>
      </c>
      <c r="C15" s="529">
        <v>2001</v>
      </c>
      <c r="D15" s="984">
        <v>193471</v>
      </c>
      <c r="E15" s="985">
        <f t="shared" si="0"/>
        <v>72.900000000000006</v>
      </c>
      <c r="F15" s="984">
        <v>48337</v>
      </c>
      <c r="G15" s="985">
        <f t="shared" si="7"/>
        <v>18.21</v>
      </c>
      <c r="H15" s="721">
        <v>18811</v>
      </c>
      <c r="I15" s="986">
        <f t="shared" si="1"/>
        <v>7.09</v>
      </c>
      <c r="J15" s="529">
        <v>81</v>
      </c>
      <c r="K15" s="986">
        <f t="shared" si="8"/>
        <v>0.03</v>
      </c>
      <c r="L15" s="529">
        <v>3182</v>
      </c>
      <c r="M15" s="986">
        <f t="shared" si="3"/>
        <v>1.2</v>
      </c>
      <c r="N15" s="529">
        <v>22</v>
      </c>
      <c r="O15" s="986">
        <f t="shared" si="4"/>
        <v>0.01</v>
      </c>
      <c r="P15" s="529">
        <v>1488</v>
      </c>
      <c r="Q15" s="986">
        <f t="shared" si="6"/>
        <v>0.56000000000000005</v>
      </c>
      <c r="R15" s="529">
        <f t="shared" si="5"/>
        <v>265392</v>
      </c>
      <c r="S15" s="195">
        <f t="shared" si="5"/>
        <v>100.00000000000003</v>
      </c>
    </row>
    <row r="16" spans="1:19" ht="14.25" customHeight="1">
      <c r="A16" s="1616"/>
      <c r="B16" s="1854"/>
      <c r="C16" s="427">
        <v>1991</v>
      </c>
      <c r="D16" s="243">
        <v>176626</v>
      </c>
      <c r="E16" s="987">
        <f t="shared" si="0"/>
        <v>76.790000000000006</v>
      </c>
      <c r="F16" s="243">
        <v>38077</v>
      </c>
      <c r="G16" s="987">
        <f t="shared" si="7"/>
        <v>16.559999999999999</v>
      </c>
      <c r="H16" s="430">
        <v>11981</v>
      </c>
      <c r="I16" s="988">
        <f t="shared" si="1"/>
        <v>5.21</v>
      </c>
      <c r="J16" s="427">
        <v>27</v>
      </c>
      <c r="K16" s="988">
        <f t="shared" si="8"/>
        <v>0.01</v>
      </c>
      <c r="L16" s="427">
        <v>2523</v>
      </c>
      <c r="M16" s="988">
        <f t="shared" si="3"/>
        <v>1.1000000000000001</v>
      </c>
      <c r="N16" s="427">
        <v>2</v>
      </c>
      <c r="O16" s="988">
        <f t="shared" si="4"/>
        <v>0</v>
      </c>
      <c r="P16" s="427">
        <v>764</v>
      </c>
      <c r="Q16" s="988">
        <f t="shared" si="6"/>
        <v>0.33</v>
      </c>
      <c r="R16" s="427">
        <f t="shared" si="5"/>
        <v>230000</v>
      </c>
      <c r="S16" s="207">
        <f t="shared" si="5"/>
        <v>100</v>
      </c>
    </row>
    <row r="17" spans="1:19" ht="14.25" customHeight="1">
      <c r="A17" s="1611">
        <v>6</v>
      </c>
      <c r="B17" s="1853" t="s">
        <v>553</v>
      </c>
      <c r="C17" s="529">
        <v>2001</v>
      </c>
      <c r="D17" s="984">
        <v>85651</v>
      </c>
      <c r="E17" s="985">
        <f t="shared" si="0"/>
        <v>80.87</v>
      </c>
      <c r="F17" s="984">
        <v>10797</v>
      </c>
      <c r="G17" s="985">
        <f t="shared" si="7"/>
        <v>10.19</v>
      </c>
      <c r="H17" s="721">
        <v>7575</v>
      </c>
      <c r="I17" s="986">
        <f>IF(H17="-","-",ROUND(H17/$R17*100,2))+0.01</f>
        <v>7.16</v>
      </c>
      <c r="J17" s="529">
        <v>42</v>
      </c>
      <c r="K17" s="986">
        <f t="shared" si="8"/>
        <v>0.04</v>
      </c>
      <c r="L17" s="529">
        <v>1736</v>
      </c>
      <c r="M17" s="986">
        <f t="shared" si="3"/>
        <v>1.64</v>
      </c>
      <c r="N17" s="529">
        <v>1</v>
      </c>
      <c r="O17" s="986">
        <f t="shared" si="4"/>
        <v>0</v>
      </c>
      <c r="P17" s="529">
        <v>104</v>
      </c>
      <c r="Q17" s="986">
        <f t="shared" si="6"/>
        <v>0.1</v>
      </c>
      <c r="R17" s="529">
        <f t="shared" si="5"/>
        <v>105906</v>
      </c>
      <c r="S17" s="195">
        <f t="shared" si="5"/>
        <v>100</v>
      </c>
    </row>
    <row r="18" spans="1:19" ht="14.25" customHeight="1">
      <c r="A18" s="1616"/>
      <c r="B18" s="1854"/>
      <c r="C18" s="427">
        <v>1991</v>
      </c>
      <c r="D18" s="243">
        <v>78597</v>
      </c>
      <c r="E18" s="987">
        <f t="shared" si="0"/>
        <v>84.28</v>
      </c>
      <c r="F18" s="243">
        <v>8324</v>
      </c>
      <c r="G18" s="987">
        <f t="shared" si="7"/>
        <v>8.93</v>
      </c>
      <c r="H18" s="430">
        <v>5185</v>
      </c>
      <c r="I18" s="988">
        <f t="shared" ref="I18:I30" si="9">IF(H18="-","-",ROUND(H18/$R18*100,2))</f>
        <v>5.56</v>
      </c>
      <c r="J18" s="427">
        <v>20</v>
      </c>
      <c r="K18" s="988">
        <f t="shared" si="8"/>
        <v>0.02</v>
      </c>
      <c r="L18" s="427">
        <v>1090</v>
      </c>
      <c r="M18" s="988">
        <f t="shared" si="3"/>
        <v>1.17</v>
      </c>
      <c r="N18" s="427">
        <v>3</v>
      </c>
      <c r="O18" s="988">
        <f t="shared" si="4"/>
        <v>0</v>
      </c>
      <c r="P18" s="427">
        <v>34</v>
      </c>
      <c r="Q18" s="988">
        <f t="shared" si="6"/>
        <v>0.04</v>
      </c>
      <c r="R18" s="427">
        <f t="shared" si="5"/>
        <v>93253</v>
      </c>
      <c r="S18" s="207">
        <f t="shared" si="5"/>
        <v>100.00000000000001</v>
      </c>
    </row>
    <row r="19" spans="1:19" ht="14.25" customHeight="1">
      <c r="A19" s="1611">
        <v>7</v>
      </c>
      <c r="B19" s="1853" t="s">
        <v>554</v>
      </c>
      <c r="C19" s="529">
        <v>2001</v>
      </c>
      <c r="D19" s="984">
        <v>96828</v>
      </c>
      <c r="E19" s="985">
        <f t="shared" si="0"/>
        <v>83.54</v>
      </c>
      <c r="F19" s="984">
        <v>8881</v>
      </c>
      <c r="G19" s="985">
        <f t="shared" si="7"/>
        <v>7.66</v>
      </c>
      <c r="H19" s="721">
        <v>6944</v>
      </c>
      <c r="I19" s="986">
        <f t="shared" si="9"/>
        <v>5.99</v>
      </c>
      <c r="J19" s="529">
        <v>55</v>
      </c>
      <c r="K19" s="986">
        <f t="shared" si="8"/>
        <v>0.05</v>
      </c>
      <c r="L19" s="529">
        <v>2567</v>
      </c>
      <c r="M19" s="986">
        <f t="shared" si="3"/>
        <v>2.21</v>
      </c>
      <c r="N19" s="529">
        <v>6</v>
      </c>
      <c r="O19" s="986">
        <f t="shared" si="4"/>
        <v>0.01</v>
      </c>
      <c r="P19" s="529">
        <v>626</v>
      </c>
      <c r="Q19" s="986">
        <f t="shared" si="6"/>
        <v>0.54</v>
      </c>
      <c r="R19" s="529">
        <f t="shared" si="5"/>
        <v>115907</v>
      </c>
      <c r="S19" s="195">
        <f t="shared" si="5"/>
        <v>100</v>
      </c>
    </row>
    <row r="20" spans="1:19" ht="14.25" customHeight="1">
      <c r="A20" s="1616"/>
      <c r="B20" s="1854"/>
      <c r="C20" s="427">
        <v>1991</v>
      </c>
      <c r="D20" s="243">
        <v>83742</v>
      </c>
      <c r="E20" s="987">
        <f t="shared" si="0"/>
        <v>82.28</v>
      </c>
      <c r="F20" s="243">
        <v>11803</v>
      </c>
      <c r="G20" s="987">
        <f t="shared" si="7"/>
        <v>11.6</v>
      </c>
      <c r="H20" s="430">
        <v>4589</v>
      </c>
      <c r="I20" s="988">
        <f t="shared" si="9"/>
        <v>4.51</v>
      </c>
      <c r="J20" s="427">
        <v>45</v>
      </c>
      <c r="K20" s="988">
        <f t="shared" si="8"/>
        <v>0.04</v>
      </c>
      <c r="L20" s="427">
        <v>1529</v>
      </c>
      <c r="M20" s="988">
        <f t="shared" si="3"/>
        <v>1.5</v>
      </c>
      <c r="N20" s="427">
        <v>45</v>
      </c>
      <c r="O20" s="988">
        <f t="shared" si="4"/>
        <v>0.04</v>
      </c>
      <c r="P20" s="427">
        <v>29</v>
      </c>
      <c r="Q20" s="988">
        <f t="shared" si="6"/>
        <v>0.03</v>
      </c>
      <c r="R20" s="427">
        <f t="shared" si="5"/>
        <v>101782</v>
      </c>
      <c r="S20" s="207">
        <f t="shared" si="5"/>
        <v>100.00000000000001</v>
      </c>
    </row>
    <row r="21" spans="1:19" ht="14.25" customHeight="1">
      <c r="A21" s="1611">
        <v>8</v>
      </c>
      <c r="B21" s="1853" t="s">
        <v>555</v>
      </c>
      <c r="C21" s="529">
        <v>2001</v>
      </c>
      <c r="D21" s="215">
        <v>149966</v>
      </c>
      <c r="E21" s="989">
        <f t="shared" si="0"/>
        <v>84.23</v>
      </c>
      <c r="F21" s="215">
        <v>7454</v>
      </c>
      <c r="G21" s="989">
        <f t="shared" si="7"/>
        <v>4.1900000000000004</v>
      </c>
      <c r="H21" s="428">
        <v>19151</v>
      </c>
      <c r="I21" s="990">
        <f t="shared" si="9"/>
        <v>10.76</v>
      </c>
      <c r="J21" s="227">
        <v>42</v>
      </c>
      <c r="K21" s="990">
        <f>IF(J21="-","-",ROUND(J21/$R21*100,2))-0.01</f>
        <v>0.01</v>
      </c>
      <c r="L21" s="227">
        <v>1338</v>
      </c>
      <c r="M21" s="990">
        <f t="shared" si="3"/>
        <v>0.75</v>
      </c>
      <c r="N21" s="227">
        <v>10</v>
      </c>
      <c r="O21" s="990">
        <f t="shared" si="4"/>
        <v>0.01</v>
      </c>
      <c r="P21" s="227">
        <v>86</v>
      </c>
      <c r="Q21" s="990">
        <f t="shared" si="6"/>
        <v>0.05</v>
      </c>
      <c r="R21" s="227">
        <f t="shared" si="5"/>
        <v>178047</v>
      </c>
      <c r="S21" s="195">
        <f t="shared" si="5"/>
        <v>100.00000000000001</v>
      </c>
    </row>
    <row r="22" spans="1:19" ht="14.25" customHeight="1">
      <c r="A22" s="1616"/>
      <c r="B22" s="1854"/>
      <c r="C22" s="427">
        <v>1991</v>
      </c>
      <c r="D22" s="243">
        <v>130788</v>
      </c>
      <c r="E22" s="987">
        <f t="shared" si="0"/>
        <v>84.99</v>
      </c>
      <c r="F22" s="243">
        <v>5901</v>
      </c>
      <c r="G22" s="987">
        <f>IF(F22="-","-",ROUND(F22/$R22*100,2))+0.01</f>
        <v>3.84</v>
      </c>
      <c r="H22" s="430">
        <v>15440</v>
      </c>
      <c r="I22" s="988">
        <f t="shared" si="9"/>
        <v>10.029999999999999</v>
      </c>
      <c r="J22" s="427">
        <v>39</v>
      </c>
      <c r="K22" s="988">
        <f t="shared" ref="K22:K30" si="10">IF(J22="-","-",ROUND(J22/$R22*100,2))</f>
        <v>0.03</v>
      </c>
      <c r="L22" s="427">
        <v>1496</v>
      </c>
      <c r="M22" s="988">
        <f t="shared" si="3"/>
        <v>0.97</v>
      </c>
      <c r="N22" s="427">
        <v>6</v>
      </c>
      <c r="O22" s="988">
        <f t="shared" si="4"/>
        <v>0</v>
      </c>
      <c r="P22" s="427">
        <v>221</v>
      </c>
      <c r="Q22" s="988">
        <f t="shared" si="6"/>
        <v>0.14000000000000001</v>
      </c>
      <c r="R22" s="427">
        <f t="shared" si="5"/>
        <v>153891</v>
      </c>
      <c r="S22" s="207">
        <f t="shared" si="5"/>
        <v>100</v>
      </c>
    </row>
    <row r="23" spans="1:19" ht="14.25" customHeight="1">
      <c r="A23" s="1611">
        <v>9</v>
      </c>
      <c r="B23" s="1853" t="s">
        <v>557</v>
      </c>
      <c r="C23" s="529">
        <v>2001</v>
      </c>
      <c r="D23" s="984">
        <v>211703</v>
      </c>
      <c r="E23" s="985">
        <f t="shared" si="0"/>
        <v>83.26</v>
      </c>
      <c r="F23" s="984">
        <v>38125</v>
      </c>
      <c r="G23" s="985">
        <f t="shared" ref="G23:G30" si="11">IF(F23="-","-",ROUND(F23/$R23*100,2))</f>
        <v>14.99</v>
      </c>
      <c r="H23" s="721">
        <v>4017</v>
      </c>
      <c r="I23" s="986">
        <f t="shared" si="9"/>
        <v>1.58</v>
      </c>
      <c r="J23" s="529">
        <v>25</v>
      </c>
      <c r="K23" s="986">
        <f t="shared" si="10"/>
        <v>0.01</v>
      </c>
      <c r="L23" s="529">
        <v>156</v>
      </c>
      <c r="M23" s="986">
        <f t="shared" si="3"/>
        <v>0.06</v>
      </c>
      <c r="N23" s="529">
        <v>148</v>
      </c>
      <c r="O23" s="986">
        <f t="shared" si="4"/>
        <v>0.06</v>
      </c>
      <c r="P23" s="529">
        <v>99</v>
      </c>
      <c r="Q23" s="986">
        <f t="shared" si="6"/>
        <v>0.04</v>
      </c>
      <c r="R23" s="529">
        <f t="shared" si="5"/>
        <v>254273</v>
      </c>
      <c r="S23" s="195">
        <f t="shared" si="5"/>
        <v>100.00000000000001</v>
      </c>
    </row>
    <row r="24" spans="1:19" ht="14.25" customHeight="1">
      <c r="A24" s="1616"/>
      <c r="B24" s="1854"/>
      <c r="C24" s="427">
        <v>1991</v>
      </c>
      <c r="D24" s="243">
        <v>175390</v>
      </c>
      <c r="E24" s="987">
        <f t="shared" si="0"/>
        <v>84.39</v>
      </c>
      <c r="F24" s="243">
        <v>29699</v>
      </c>
      <c r="G24" s="987">
        <f t="shared" si="11"/>
        <v>14.29</v>
      </c>
      <c r="H24" s="430">
        <v>2396</v>
      </c>
      <c r="I24" s="988">
        <f t="shared" si="9"/>
        <v>1.1499999999999999</v>
      </c>
      <c r="J24" s="427">
        <v>43</v>
      </c>
      <c r="K24" s="988">
        <f t="shared" si="10"/>
        <v>0.02</v>
      </c>
      <c r="L24" s="427">
        <v>143</v>
      </c>
      <c r="M24" s="988">
        <f t="shared" si="3"/>
        <v>7.0000000000000007E-2</v>
      </c>
      <c r="N24" s="427">
        <v>107</v>
      </c>
      <c r="O24" s="988">
        <f t="shared" si="4"/>
        <v>0.05</v>
      </c>
      <c r="P24" s="427">
        <v>64</v>
      </c>
      <c r="Q24" s="988">
        <f t="shared" si="6"/>
        <v>0.03</v>
      </c>
      <c r="R24" s="427">
        <f t="shared" si="5"/>
        <v>207842</v>
      </c>
      <c r="S24" s="207">
        <f t="shared" si="5"/>
        <v>100</v>
      </c>
    </row>
    <row r="25" spans="1:19" ht="14.25" customHeight="1">
      <c r="A25" s="1611">
        <v>10</v>
      </c>
      <c r="B25" s="1855" t="s">
        <v>1383</v>
      </c>
      <c r="C25" s="529">
        <v>2001</v>
      </c>
      <c r="D25" s="984">
        <v>144531</v>
      </c>
      <c r="E25" s="985">
        <f t="shared" si="0"/>
        <v>77.930000000000007</v>
      </c>
      <c r="F25" s="984">
        <v>18533</v>
      </c>
      <c r="G25" s="985">
        <f t="shared" si="11"/>
        <v>9.99</v>
      </c>
      <c r="H25" s="721">
        <v>11984</v>
      </c>
      <c r="I25" s="986">
        <f t="shared" si="9"/>
        <v>6.46</v>
      </c>
      <c r="J25" s="529">
        <v>145</v>
      </c>
      <c r="K25" s="986">
        <f t="shared" si="10"/>
        <v>0.08</v>
      </c>
      <c r="L25" s="529">
        <v>10068</v>
      </c>
      <c r="M25" s="986">
        <f t="shared" si="3"/>
        <v>5.43</v>
      </c>
      <c r="N25" s="529">
        <v>20</v>
      </c>
      <c r="O25" s="986">
        <f t="shared" si="4"/>
        <v>0.01</v>
      </c>
      <c r="P25" s="529">
        <v>189</v>
      </c>
      <c r="Q25" s="986">
        <f t="shared" si="6"/>
        <v>0.1</v>
      </c>
      <c r="R25" s="529">
        <f t="shared" si="5"/>
        <v>185470</v>
      </c>
      <c r="S25" s="195">
        <f t="shared" si="5"/>
        <v>99.999999999999986</v>
      </c>
    </row>
    <row r="26" spans="1:19" ht="14.25" customHeight="1">
      <c r="A26" s="1616"/>
      <c r="B26" s="1854"/>
      <c r="C26" s="427">
        <v>1991</v>
      </c>
      <c r="D26" s="243">
        <v>123153</v>
      </c>
      <c r="E26" s="987">
        <f t="shared" si="0"/>
        <v>80.92</v>
      </c>
      <c r="F26" s="243">
        <v>13567</v>
      </c>
      <c r="G26" s="987">
        <f t="shared" si="11"/>
        <v>8.91</v>
      </c>
      <c r="H26" s="430">
        <v>8095</v>
      </c>
      <c r="I26" s="988">
        <f t="shared" si="9"/>
        <v>5.32</v>
      </c>
      <c r="J26" s="427">
        <v>154</v>
      </c>
      <c r="K26" s="988">
        <f t="shared" si="10"/>
        <v>0.1</v>
      </c>
      <c r="L26" s="427">
        <v>7134</v>
      </c>
      <c r="M26" s="988">
        <f t="shared" si="3"/>
        <v>4.6900000000000004</v>
      </c>
      <c r="N26" s="427">
        <v>45</v>
      </c>
      <c r="O26" s="988">
        <f t="shared" si="4"/>
        <v>0.03</v>
      </c>
      <c r="P26" s="427">
        <v>51</v>
      </c>
      <c r="Q26" s="988">
        <f t="shared" si="6"/>
        <v>0.03</v>
      </c>
      <c r="R26" s="427">
        <f t="shared" si="5"/>
        <v>152199</v>
      </c>
      <c r="S26" s="207">
        <f t="shared" si="5"/>
        <v>100</v>
      </c>
    </row>
    <row r="27" spans="1:19" ht="14.25" customHeight="1">
      <c r="A27" s="1611">
        <v>11</v>
      </c>
      <c r="B27" s="1853" t="s">
        <v>566</v>
      </c>
      <c r="C27" s="529">
        <v>2001</v>
      </c>
      <c r="D27" s="984">
        <v>181706</v>
      </c>
      <c r="E27" s="985">
        <f t="shared" si="0"/>
        <v>71.94</v>
      </c>
      <c r="F27" s="984">
        <v>19694</v>
      </c>
      <c r="G27" s="985">
        <f t="shared" si="11"/>
        <v>7.8</v>
      </c>
      <c r="H27" s="721">
        <v>33029</v>
      </c>
      <c r="I27" s="986">
        <f t="shared" si="9"/>
        <v>13.08</v>
      </c>
      <c r="J27" s="529">
        <v>250</v>
      </c>
      <c r="K27" s="986">
        <f t="shared" si="10"/>
        <v>0.1</v>
      </c>
      <c r="L27" s="529">
        <v>17218</v>
      </c>
      <c r="M27" s="986">
        <f t="shared" si="3"/>
        <v>6.82</v>
      </c>
      <c r="N27" s="529">
        <v>65</v>
      </c>
      <c r="O27" s="986">
        <f>IF(N27="-","-",ROUND(N27/$R27*100,2))-0.01</f>
        <v>1.9999999999999997E-2</v>
      </c>
      <c r="P27" s="529">
        <v>609</v>
      </c>
      <c r="Q27" s="986">
        <f t="shared" si="6"/>
        <v>0.24</v>
      </c>
      <c r="R27" s="529">
        <f t="shared" si="5"/>
        <v>252571</v>
      </c>
      <c r="S27" s="195">
        <f t="shared" si="5"/>
        <v>99.999999999999972</v>
      </c>
    </row>
    <row r="28" spans="1:19" ht="14.25" customHeight="1">
      <c r="A28" s="1616"/>
      <c r="B28" s="1854"/>
      <c r="C28" s="427">
        <v>1991</v>
      </c>
      <c r="D28" s="243">
        <v>153601</v>
      </c>
      <c r="E28" s="987">
        <f>IF(D28="-","-",ROUND(D28/$R28*100,2))-0.01</f>
        <v>75.64</v>
      </c>
      <c r="F28" s="243">
        <v>11832</v>
      </c>
      <c r="G28" s="987">
        <f t="shared" si="11"/>
        <v>5.83</v>
      </c>
      <c r="H28" s="430">
        <v>23425</v>
      </c>
      <c r="I28" s="988">
        <f t="shared" si="9"/>
        <v>11.54</v>
      </c>
      <c r="J28" s="427">
        <v>178</v>
      </c>
      <c r="K28" s="988">
        <f t="shared" si="10"/>
        <v>0.09</v>
      </c>
      <c r="L28" s="427">
        <v>13479</v>
      </c>
      <c r="M28" s="988">
        <f t="shared" si="3"/>
        <v>6.64</v>
      </c>
      <c r="N28" s="427">
        <v>87</v>
      </c>
      <c r="O28" s="988">
        <f>IF(N28="-","-",ROUND(N28/$R28*100,2))</f>
        <v>0.04</v>
      </c>
      <c r="P28" s="427">
        <v>452</v>
      </c>
      <c r="Q28" s="988">
        <f t="shared" si="6"/>
        <v>0.22</v>
      </c>
      <c r="R28" s="427">
        <f t="shared" si="5"/>
        <v>203054</v>
      </c>
      <c r="S28" s="207">
        <f t="shared" si="5"/>
        <v>100</v>
      </c>
    </row>
    <row r="29" spans="1:19" ht="14.25" customHeight="1">
      <c r="A29" s="1611">
        <v>12</v>
      </c>
      <c r="B29" s="993" t="s">
        <v>567</v>
      </c>
      <c r="C29" s="529">
        <v>2001</v>
      </c>
      <c r="D29" s="984">
        <v>348911</v>
      </c>
      <c r="E29" s="985">
        <f>IF(D29="-","-",ROUND(D29/$R29*100,2))</f>
        <v>88.51</v>
      </c>
      <c r="F29" s="984">
        <v>23342</v>
      </c>
      <c r="G29" s="985">
        <f t="shared" si="11"/>
        <v>5.92</v>
      </c>
      <c r="H29" s="721">
        <v>20627</v>
      </c>
      <c r="I29" s="986">
        <f t="shared" si="9"/>
        <v>5.23</v>
      </c>
      <c r="J29" s="529">
        <v>61</v>
      </c>
      <c r="K29" s="986">
        <f t="shared" si="10"/>
        <v>0.02</v>
      </c>
      <c r="L29" s="529">
        <v>671</v>
      </c>
      <c r="M29" s="986">
        <f t="shared" si="3"/>
        <v>0.17</v>
      </c>
      <c r="N29" s="529">
        <v>274</v>
      </c>
      <c r="O29" s="991">
        <f>IF(N29="-","-",ROUND(N29/$R29*100,2))</f>
        <v>7.0000000000000007E-2</v>
      </c>
      <c r="P29" s="529">
        <v>329</v>
      </c>
      <c r="Q29" s="986">
        <f t="shared" si="6"/>
        <v>0.08</v>
      </c>
      <c r="R29" s="529">
        <f t="shared" si="5"/>
        <v>394215</v>
      </c>
      <c r="S29" s="195">
        <f t="shared" si="5"/>
        <v>100</v>
      </c>
    </row>
    <row r="30" spans="1:19" ht="14.25" customHeight="1">
      <c r="A30" s="1616"/>
      <c r="B30" s="322" t="s">
        <v>569</v>
      </c>
      <c r="C30" s="427">
        <v>1991</v>
      </c>
      <c r="D30" s="243">
        <v>309623</v>
      </c>
      <c r="E30" s="987">
        <f>IF(D30="-","-",ROUND(D30/$R30*100,2))-0.01</f>
        <v>89.699999999999989</v>
      </c>
      <c r="F30" s="243">
        <v>17799</v>
      </c>
      <c r="G30" s="987">
        <f t="shared" si="11"/>
        <v>5.16</v>
      </c>
      <c r="H30" s="430">
        <v>17156</v>
      </c>
      <c r="I30" s="988">
        <f t="shared" si="9"/>
        <v>4.97</v>
      </c>
      <c r="J30" s="427">
        <v>24</v>
      </c>
      <c r="K30" s="988">
        <f t="shared" si="10"/>
        <v>0.01</v>
      </c>
      <c r="L30" s="427">
        <v>287</v>
      </c>
      <c r="M30" s="988">
        <f t="shared" si="3"/>
        <v>0.08</v>
      </c>
      <c r="N30" s="427">
        <v>91</v>
      </c>
      <c r="O30" s="992">
        <f>IF(N30="-","-",ROUND(N30/$R30*100,2))</f>
        <v>0.03</v>
      </c>
      <c r="P30" s="427">
        <v>176</v>
      </c>
      <c r="Q30" s="988">
        <f t="shared" si="6"/>
        <v>0.05</v>
      </c>
      <c r="R30" s="427">
        <f t="shared" si="5"/>
        <v>345156</v>
      </c>
      <c r="S30" s="207">
        <f t="shared" si="5"/>
        <v>99.999999999999986</v>
      </c>
    </row>
    <row r="31" spans="1:19">
      <c r="A31" s="313"/>
      <c r="C31" s="7"/>
      <c r="D31" s="7"/>
      <c r="E31" s="7"/>
      <c r="F31" s="7"/>
      <c r="G31" s="7"/>
      <c r="H31" s="7"/>
      <c r="I31" s="7"/>
      <c r="J31" s="7"/>
      <c r="K31" s="7"/>
      <c r="L31" s="7"/>
      <c r="M31" s="7"/>
      <c r="N31" s="7"/>
      <c r="O31" s="14"/>
      <c r="P31" s="12"/>
      <c r="Q31" s="71"/>
      <c r="R31" s="71"/>
      <c r="S31" s="888" t="s">
        <v>1039</v>
      </c>
    </row>
    <row r="32" spans="1:19">
      <c r="A32" s="12"/>
      <c r="C32" s="7"/>
      <c r="D32" s="31"/>
      <c r="E32" s="31"/>
      <c r="F32" s="31"/>
      <c r="G32" s="31"/>
      <c r="H32" s="31"/>
      <c r="I32" s="31"/>
      <c r="J32" s="31"/>
      <c r="K32" s="31"/>
      <c r="L32" s="31"/>
      <c r="M32" s="31"/>
      <c r="N32" s="31"/>
      <c r="O32" s="31"/>
      <c r="P32" s="824"/>
      <c r="Q32" s="31"/>
      <c r="R32" s="12"/>
      <c r="S32" s="12"/>
    </row>
    <row r="33" spans="2:17">
      <c r="C33" s="7"/>
      <c r="D33" s="31"/>
      <c r="E33" s="31"/>
      <c r="F33" s="31"/>
      <c r="G33" s="31"/>
      <c r="H33" s="31"/>
      <c r="I33" s="31"/>
      <c r="J33" s="31"/>
      <c r="K33" s="31"/>
      <c r="L33" s="31"/>
      <c r="M33" s="31"/>
      <c r="N33" s="31"/>
      <c r="O33" s="31"/>
      <c r="P33" s="824"/>
      <c r="Q33" s="31"/>
    </row>
    <row r="34" spans="2:17">
      <c r="C34" s="7"/>
      <c r="D34" s="31"/>
      <c r="E34" s="31"/>
      <c r="F34" s="31"/>
      <c r="G34" s="31"/>
      <c r="H34" s="31"/>
      <c r="I34" s="31"/>
      <c r="J34" s="31"/>
      <c r="K34" s="31"/>
      <c r="L34" s="31"/>
      <c r="M34" s="31"/>
      <c r="N34" s="31"/>
      <c r="O34" s="31"/>
      <c r="P34" s="824"/>
      <c r="Q34" s="31"/>
    </row>
    <row r="35" spans="2:17">
      <c r="C35" s="7"/>
      <c r="D35" s="31"/>
      <c r="E35" s="31"/>
      <c r="F35" s="31"/>
      <c r="G35" s="31"/>
      <c r="H35" s="31"/>
      <c r="I35" s="31"/>
      <c r="J35" s="31"/>
      <c r="K35" s="31"/>
      <c r="L35" s="31"/>
      <c r="M35" s="31"/>
      <c r="N35" s="31"/>
      <c r="O35" s="31"/>
      <c r="P35" s="824"/>
      <c r="Q35" s="31"/>
    </row>
    <row r="36" spans="2:17">
      <c r="C36" s="7"/>
      <c r="D36" s="31"/>
      <c r="E36" s="31"/>
      <c r="F36" s="31"/>
      <c r="G36" s="31"/>
      <c r="H36" s="31"/>
      <c r="I36" s="31"/>
      <c r="J36" s="31"/>
      <c r="K36" s="31"/>
      <c r="L36" s="31"/>
      <c r="M36" s="31"/>
      <c r="N36" s="31"/>
      <c r="O36" s="31"/>
      <c r="P36" s="824"/>
      <c r="Q36" s="31"/>
    </row>
    <row r="37" spans="2:17">
      <c r="C37" s="7"/>
      <c r="D37" s="31"/>
      <c r="E37" s="31"/>
      <c r="F37" s="31"/>
      <c r="G37" s="31"/>
      <c r="H37" s="31"/>
      <c r="I37" s="31"/>
      <c r="J37" s="31"/>
      <c r="K37" s="31"/>
      <c r="L37" s="31"/>
      <c r="M37" s="31"/>
      <c r="N37" s="31"/>
      <c r="O37" s="31"/>
      <c r="P37" s="824"/>
      <c r="Q37" s="31"/>
    </row>
    <row r="38" spans="2:17">
      <c r="C38" s="7"/>
      <c r="D38" s="31"/>
      <c r="E38" s="31"/>
      <c r="F38" s="31"/>
      <c r="G38" s="31"/>
      <c r="H38" s="31"/>
      <c r="I38" s="31"/>
      <c r="J38" s="31"/>
      <c r="K38" s="31"/>
      <c r="L38" s="31"/>
      <c r="M38" s="31"/>
      <c r="N38" s="31"/>
      <c r="O38" s="31"/>
      <c r="P38" s="824"/>
      <c r="Q38" s="31"/>
    </row>
    <row r="39" spans="2:17">
      <c r="B39" s="824"/>
      <c r="C39" s="31"/>
      <c r="D39" s="31"/>
      <c r="E39" s="31"/>
      <c r="F39" s="31"/>
      <c r="G39" s="31"/>
      <c r="H39" s="31"/>
      <c r="I39" s="31"/>
      <c r="J39" s="31"/>
      <c r="K39" s="31"/>
      <c r="L39" s="31"/>
      <c r="M39" s="31"/>
      <c r="N39" s="31"/>
      <c r="O39" s="7"/>
      <c r="P39" s="7"/>
      <c r="Q39" s="7"/>
    </row>
    <row r="40" spans="2:17">
      <c r="B40" s="7"/>
      <c r="C40" s="7"/>
      <c r="D40" s="7"/>
      <c r="E40" s="7"/>
      <c r="F40" s="7"/>
      <c r="G40" s="7"/>
      <c r="H40" s="7"/>
      <c r="I40" s="7"/>
      <c r="J40" s="7"/>
      <c r="K40" s="7"/>
      <c r="L40" s="7"/>
      <c r="M40" s="7"/>
      <c r="N40" s="7"/>
      <c r="O40" s="7"/>
      <c r="P40" s="7"/>
      <c r="Q40" s="7"/>
    </row>
  </sheetData>
  <mergeCells count="37">
    <mergeCell ref="A1:S1"/>
    <mergeCell ref="A2:S2"/>
    <mergeCell ref="A4:A5"/>
    <mergeCell ref="B4:B5"/>
    <mergeCell ref="C4:C5"/>
    <mergeCell ref="D4:E4"/>
    <mergeCell ref="F4:G4"/>
    <mergeCell ref="H4:I4"/>
    <mergeCell ref="J4:K4"/>
    <mergeCell ref="L4:M4"/>
    <mergeCell ref="R4:S4"/>
    <mergeCell ref="N4:O4"/>
    <mergeCell ref="P4:Q4"/>
    <mergeCell ref="Q3:S3"/>
    <mergeCell ref="A7:A8"/>
    <mergeCell ref="B7:B8"/>
    <mergeCell ref="A9:A10"/>
    <mergeCell ref="B9:B10"/>
    <mergeCell ref="A15:A16"/>
    <mergeCell ref="B15:B16"/>
    <mergeCell ref="A11:A12"/>
    <mergeCell ref="B11:B12"/>
    <mergeCell ref="A13:A14"/>
    <mergeCell ref="B13:B14"/>
    <mergeCell ref="A29:A30"/>
    <mergeCell ref="A25:A26"/>
    <mergeCell ref="B25:B26"/>
    <mergeCell ref="A27:A28"/>
    <mergeCell ref="B27:B28"/>
    <mergeCell ref="A23:A24"/>
    <mergeCell ref="B23:B24"/>
    <mergeCell ref="A17:A18"/>
    <mergeCell ref="B17:B18"/>
    <mergeCell ref="A19:A20"/>
    <mergeCell ref="B19:B20"/>
    <mergeCell ref="A21:A22"/>
    <mergeCell ref="B21:B22"/>
  </mergeCells>
  <phoneticPr fontId="0" type="noConversion"/>
  <printOptions horizontalCentered="1"/>
  <pageMargins left="0.25" right="0.05" top="0.75" bottom="0.69" header="0.23" footer="0.5"/>
  <pageSetup paperSize="9" orientation="landscape" blackAndWhite="1" r:id="rId1"/>
  <headerFooter alignWithMargins="0"/>
  <drawing r:id="rId2"/>
</worksheet>
</file>

<file path=xl/worksheets/sheet75.xml><?xml version="1.0" encoding="utf-8"?>
<worksheet xmlns="http://schemas.openxmlformats.org/spreadsheetml/2006/main" xmlns:r="http://schemas.openxmlformats.org/officeDocument/2006/relationships">
  <sheetPr codeName="Sheet81"/>
  <dimension ref="A1:J27"/>
  <sheetViews>
    <sheetView topLeftCell="A8" workbookViewId="0">
      <selection activeCell="J15" sqref="J15"/>
    </sheetView>
  </sheetViews>
  <sheetFormatPr defaultRowHeight="12.75"/>
  <cols>
    <col min="1" max="1" width="9" customWidth="1"/>
    <col min="2" max="2" width="18.28515625" customWidth="1"/>
    <col min="3" max="3" width="14.7109375" customWidth="1"/>
    <col min="4" max="4" width="14.5703125" customWidth="1"/>
    <col min="5" max="5" width="14.7109375" customWidth="1"/>
    <col min="6" max="6" width="16" customWidth="1"/>
    <col min="7" max="7" width="19.28515625" customWidth="1"/>
  </cols>
  <sheetData>
    <row r="1" spans="1:10" ht="12.75" customHeight="1">
      <c r="A1" s="1286" t="s">
        <v>493</v>
      </c>
      <c r="B1" s="1286"/>
      <c r="C1" s="1286"/>
      <c r="D1" s="1286"/>
      <c r="E1" s="1286"/>
      <c r="F1" s="1286"/>
      <c r="G1" s="1286"/>
    </row>
    <row r="2" spans="1:10" ht="16.5">
      <c r="A2" s="1287" t="str">
        <f>CONCATENATE("Persons Engaged in Agriculture in the Blocks of ", District!$A$1, " for the year " &amp; District!C2)</f>
        <v>Persons Engaged in Agriculture in the Blocks of Jalpaiguri for the year 2013-14</v>
      </c>
      <c r="B2" s="1287"/>
      <c r="C2" s="1287"/>
      <c r="D2" s="1287"/>
      <c r="E2" s="1287"/>
      <c r="F2" s="1287"/>
      <c r="G2" s="1287"/>
      <c r="H2" s="5"/>
    </row>
    <row r="3" spans="1:10" ht="12" customHeight="1">
      <c r="A3" s="359"/>
      <c r="B3" s="405"/>
      <c r="C3" s="405"/>
      <c r="D3" s="405"/>
      <c r="E3" s="405"/>
      <c r="F3" s="405"/>
      <c r="G3" s="665" t="s">
        <v>1460</v>
      </c>
    </row>
    <row r="4" spans="1:10" ht="15" customHeight="1">
      <c r="A4" s="325" t="s">
        <v>1461</v>
      </c>
      <c r="B4" s="1299" t="s">
        <v>38</v>
      </c>
      <c r="C4" s="1288" t="s">
        <v>1462</v>
      </c>
      <c r="D4" s="635" t="s">
        <v>1463</v>
      </c>
      <c r="E4" s="325" t="s">
        <v>920</v>
      </c>
      <c r="F4" s="635" t="s">
        <v>919</v>
      </c>
      <c r="G4" s="325" t="s">
        <v>1147</v>
      </c>
    </row>
    <row r="5" spans="1:10" ht="15" customHeight="1">
      <c r="A5" s="641" t="s">
        <v>317</v>
      </c>
      <c r="B5" s="1301"/>
      <c r="C5" s="1301"/>
      <c r="D5" s="370" t="s">
        <v>1464</v>
      </c>
      <c r="E5" s="641" t="s">
        <v>581</v>
      </c>
      <c r="F5" s="370" t="s">
        <v>581</v>
      </c>
      <c r="G5" s="641" t="s">
        <v>129</v>
      </c>
    </row>
    <row r="6" spans="1:10" ht="15" customHeight="1">
      <c r="A6" s="57" t="s">
        <v>278</v>
      </c>
      <c r="B6" s="87" t="s">
        <v>279</v>
      </c>
      <c r="C6" s="57" t="s">
        <v>280</v>
      </c>
      <c r="D6" s="57" t="s">
        <v>281</v>
      </c>
      <c r="E6" s="57" t="s">
        <v>282</v>
      </c>
      <c r="F6" s="87" t="s">
        <v>283</v>
      </c>
      <c r="G6" s="57" t="s">
        <v>284</v>
      </c>
    </row>
    <row r="7" spans="1:10" ht="24" customHeight="1">
      <c r="A7" s="91">
        <v>1</v>
      </c>
      <c r="B7" s="1150" t="s">
        <v>561</v>
      </c>
      <c r="C7" s="312">
        <v>3938</v>
      </c>
      <c r="D7" s="49">
        <v>16265</v>
      </c>
      <c r="E7" s="312">
        <v>3892</v>
      </c>
      <c r="F7" s="740">
        <v>20934</v>
      </c>
      <c r="G7" s="52">
        <f>VLOOKUP(B7,'2.7'!$A$1:$F$28,6,FALSE)</f>
        <v>21150</v>
      </c>
      <c r="H7" s="46"/>
    </row>
    <row r="8" spans="1:10" ht="24" customHeight="1">
      <c r="A8" s="91">
        <v>2</v>
      </c>
      <c r="B8" s="1149" t="s">
        <v>1149</v>
      </c>
      <c r="C8" s="31">
        <v>5098</v>
      </c>
      <c r="D8" s="52">
        <v>15636</v>
      </c>
      <c r="E8" s="31">
        <v>2304</v>
      </c>
      <c r="F8" s="169">
        <v>14978</v>
      </c>
      <c r="G8" s="52">
        <f>VLOOKUP(B8,'2.7'!$A$1:$F$28,6,FALSE)</f>
        <v>46547</v>
      </c>
      <c r="H8" s="46"/>
    </row>
    <row r="9" spans="1:10" ht="24" customHeight="1">
      <c r="A9" s="91">
        <v>3</v>
      </c>
      <c r="B9" s="1149" t="s">
        <v>549</v>
      </c>
      <c r="C9" s="225">
        <v>3487</v>
      </c>
      <c r="D9" s="227">
        <v>20053</v>
      </c>
      <c r="E9" s="31">
        <v>9041</v>
      </c>
      <c r="F9" s="169">
        <v>27781</v>
      </c>
      <c r="G9" s="52">
        <f>VLOOKUP(B9,'2.7'!$A$1:$F$28,6,FALSE)</f>
        <v>42247</v>
      </c>
      <c r="H9" s="46"/>
      <c r="J9" s="6"/>
    </row>
    <row r="10" spans="1:10" ht="24" customHeight="1">
      <c r="A10" s="91">
        <v>4</v>
      </c>
      <c r="B10" s="1149" t="s">
        <v>550</v>
      </c>
      <c r="C10" s="31">
        <v>4993</v>
      </c>
      <c r="D10" s="52">
        <v>16858</v>
      </c>
      <c r="E10" s="31">
        <v>9605</v>
      </c>
      <c r="F10" s="169">
        <v>27675</v>
      </c>
      <c r="G10" s="52">
        <f>VLOOKUP(B10,'2.7'!$A$1:$F$28,6,FALSE)</f>
        <v>55850</v>
      </c>
      <c r="H10" s="46"/>
    </row>
    <row r="11" spans="1:10" ht="24" customHeight="1">
      <c r="A11" s="91">
        <v>5</v>
      </c>
      <c r="B11" s="1149" t="s">
        <v>552</v>
      </c>
      <c r="C11" s="31">
        <v>3585</v>
      </c>
      <c r="D11" s="52">
        <v>20435</v>
      </c>
      <c r="E11" s="31">
        <v>1613</v>
      </c>
      <c r="F11" s="169">
        <v>20076</v>
      </c>
      <c r="G11" s="52">
        <f>VLOOKUP(B11,'2.7'!$A$1:$F$28,6,FALSE)</f>
        <v>23731</v>
      </c>
    </row>
    <row r="12" spans="1:10" ht="24" customHeight="1">
      <c r="A12" s="91">
        <v>6</v>
      </c>
      <c r="B12" s="91" t="s">
        <v>1440</v>
      </c>
      <c r="C12" s="31">
        <v>1035</v>
      </c>
      <c r="D12" s="52">
        <v>5345</v>
      </c>
      <c r="E12" s="31">
        <v>485</v>
      </c>
      <c r="F12" s="169">
        <v>5509</v>
      </c>
      <c r="G12" s="52">
        <f>VLOOKUP(B12,'2.7'!$A$1:$F$28,6,FALSE)</f>
        <v>5402</v>
      </c>
      <c r="H12" s="46"/>
    </row>
    <row r="13" spans="1:10" ht="24" customHeight="1">
      <c r="A13" s="91">
        <v>7</v>
      </c>
      <c r="B13" s="1149" t="s">
        <v>554</v>
      </c>
      <c r="C13" s="31">
        <v>1330</v>
      </c>
      <c r="D13" s="52">
        <v>3491</v>
      </c>
      <c r="E13" s="31">
        <v>542</v>
      </c>
      <c r="F13" s="169">
        <v>4727</v>
      </c>
      <c r="G13" s="52">
        <f>VLOOKUP(B13,'2.7'!$A$1:$F$28,6,FALSE)</f>
        <v>6796</v>
      </c>
    </row>
    <row r="14" spans="1:10" ht="24" customHeight="1">
      <c r="A14" s="91">
        <v>8</v>
      </c>
      <c r="B14" s="316" t="s">
        <v>555</v>
      </c>
      <c r="C14" s="169">
        <v>4899</v>
      </c>
      <c r="D14" s="52">
        <v>5946</v>
      </c>
      <c r="E14" s="31">
        <v>1641</v>
      </c>
      <c r="F14" s="169">
        <v>13581</v>
      </c>
      <c r="G14" s="52">
        <f>VLOOKUP(B14,'2.7'!$A$1:$F$28,6,FALSE)</f>
        <v>20744</v>
      </c>
      <c r="H14" s="7"/>
    </row>
    <row r="15" spans="1:10" ht="24" customHeight="1">
      <c r="A15" s="91">
        <v>9</v>
      </c>
      <c r="B15" s="1149" t="s">
        <v>557</v>
      </c>
      <c r="C15" s="31">
        <v>8495</v>
      </c>
      <c r="D15" s="52">
        <v>17957</v>
      </c>
      <c r="E15" s="31">
        <v>8675</v>
      </c>
      <c r="F15" s="169">
        <v>40727</v>
      </c>
      <c r="G15" s="52">
        <f>VLOOKUP(B15,'2.7'!$A$1:$F$28,6,FALSE)</f>
        <v>43693</v>
      </c>
    </row>
    <row r="16" spans="1:10" ht="24" customHeight="1">
      <c r="A16" s="91">
        <v>10</v>
      </c>
      <c r="B16" s="1149" t="s">
        <v>560</v>
      </c>
      <c r="C16" s="31">
        <v>2740</v>
      </c>
      <c r="D16" s="52">
        <v>4056</v>
      </c>
      <c r="E16" s="31">
        <v>2541</v>
      </c>
      <c r="F16" s="169">
        <v>9803</v>
      </c>
      <c r="G16" s="52">
        <f>VLOOKUP(B16,'2.7'!$A$1:$F$28,6,FALSE)</f>
        <v>9714</v>
      </c>
    </row>
    <row r="17" spans="1:8" ht="24" customHeight="1">
      <c r="A17" s="91">
        <v>11</v>
      </c>
      <c r="B17" s="1149" t="s">
        <v>566</v>
      </c>
      <c r="C17" s="31">
        <v>2129</v>
      </c>
      <c r="D17" s="52">
        <v>4722</v>
      </c>
      <c r="E17" s="31">
        <v>729</v>
      </c>
      <c r="F17" s="169">
        <v>8112</v>
      </c>
      <c r="G17" s="52">
        <f>VLOOKUP(B17,'2.7'!$A$1:$F$28,6,FALSE)</f>
        <v>8487</v>
      </c>
    </row>
    <row r="18" spans="1:8" ht="24" customHeight="1">
      <c r="A18" s="91">
        <v>12</v>
      </c>
      <c r="B18" s="91" t="s">
        <v>567</v>
      </c>
      <c r="C18" s="31">
        <v>5189</v>
      </c>
      <c r="D18" s="52">
        <v>7882</v>
      </c>
      <c r="E18" s="31">
        <v>2233</v>
      </c>
      <c r="F18" s="169">
        <v>17359</v>
      </c>
      <c r="G18" s="52">
        <f>VLOOKUP(B18,'2.7'!$A$1:$F$28,6,FALSE)</f>
        <v>30686</v>
      </c>
    </row>
    <row r="19" spans="1:8" ht="24" customHeight="1">
      <c r="A19" s="275">
        <v>13</v>
      </c>
      <c r="B19" s="1149" t="s">
        <v>569</v>
      </c>
      <c r="C19" s="158">
        <v>5909</v>
      </c>
      <c r="D19" s="155">
        <v>10817</v>
      </c>
      <c r="E19" s="158">
        <v>3981</v>
      </c>
      <c r="F19" s="44">
        <v>26147</v>
      </c>
      <c r="G19" s="155">
        <f>VLOOKUP(B19,'2.7'!$A$1:$F$28,6,FALSE)</f>
        <v>32502</v>
      </c>
    </row>
    <row r="20" spans="1:8" ht="12.75" customHeight="1">
      <c r="A20" s="930" t="s">
        <v>670</v>
      </c>
      <c r="B20" s="1859" t="s">
        <v>671</v>
      </c>
      <c r="C20" s="1859"/>
      <c r="D20" s="1859"/>
      <c r="E20" s="928" t="s">
        <v>857</v>
      </c>
      <c r="F20" s="314" t="s">
        <v>1441</v>
      </c>
      <c r="G20" s="878"/>
      <c r="H20" s="7"/>
    </row>
    <row r="21" spans="1:8" ht="12.75" customHeight="1">
      <c r="A21" s="946" t="s">
        <v>341</v>
      </c>
      <c r="B21" s="1633"/>
      <c r="C21" s="1633"/>
      <c r="D21" s="1633"/>
      <c r="E21" s="928" t="s">
        <v>81</v>
      </c>
      <c r="F21" s="314" t="s">
        <v>210</v>
      </c>
      <c r="G21" s="878"/>
      <c r="H21" s="7"/>
    </row>
    <row r="22" spans="1:8" ht="12.75" customHeight="1">
      <c r="A22" s="935" t="s">
        <v>81</v>
      </c>
      <c r="B22" s="1633" t="s">
        <v>672</v>
      </c>
      <c r="C22" s="1633"/>
      <c r="D22" s="1633"/>
      <c r="E22" s="858" t="s">
        <v>82</v>
      </c>
      <c r="F22" s="314" t="s">
        <v>519</v>
      </c>
      <c r="G22" s="878"/>
      <c r="H22" s="7"/>
    </row>
    <row r="23" spans="1:8" ht="12.75" customHeight="1">
      <c r="A23" s="947"/>
      <c r="B23" s="1633"/>
      <c r="C23" s="1633"/>
      <c r="D23" s="1633"/>
      <c r="E23" s="359"/>
      <c r="G23" s="408"/>
    </row>
    <row r="24" spans="1:8" ht="15.95" customHeight="1">
      <c r="A24" s="755" t="s">
        <v>518</v>
      </c>
      <c r="B24" s="500"/>
      <c r="C24" s="500"/>
      <c r="D24" s="500"/>
      <c r="E24" s="359"/>
      <c r="G24" s="408"/>
    </row>
    <row r="25" spans="1:8" ht="14.1" customHeight="1">
      <c r="A25" s="359"/>
      <c r="E25" s="525"/>
      <c r="F25" s="359"/>
      <c r="G25" s="359"/>
    </row>
    <row r="26" spans="1:8" ht="14.1" customHeight="1">
      <c r="A26" s="359"/>
      <c r="E26" s="359"/>
      <c r="F26" s="359"/>
      <c r="G26" s="359"/>
    </row>
    <row r="27" spans="1:8">
      <c r="A27" s="359"/>
      <c r="B27" s="359"/>
      <c r="C27" s="359"/>
      <c r="D27" s="359"/>
      <c r="E27" s="359"/>
      <c r="F27" s="359"/>
      <c r="G27" s="359"/>
    </row>
  </sheetData>
  <mergeCells count="6">
    <mergeCell ref="A2:G2"/>
    <mergeCell ref="A1:G1"/>
    <mergeCell ref="B22:D23"/>
    <mergeCell ref="B20:D21"/>
    <mergeCell ref="B4:B5"/>
    <mergeCell ref="C4:C5"/>
  </mergeCells>
  <phoneticPr fontId="0" type="noConversion"/>
  <printOptions horizontalCentered="1"/>
  <pageMargins left="0.1" right="0.1" top="0.88" bottom="0.1" header="0.5" footer="0.1"/>
  <pageSetup paperSize="9" orientation="landscape" blackAndWhite="1" r:id="rId1"/>
  <headerFooter alignWithMargins="0"/>
</worksheet>
</file>

<file path=xl/worksheets/sheet76.xml><?xml version="1.0" encoding="utf-8"?>
<worksheet xmlns="http://schemas.openxmlformats.org/spreadsheetml/2006/main" xmlns:r="http://schemas.openxmlformats.org/officeDocument/2006/relationships">
  <sheetPr codeName="Sheet82"/>
  <dimension ref="A1:AU25"/>
  <sheetViews>
    <sheetView workbookViewId="0">
      <selection activeCell="Q6" sqref="Q6"/>
    </sheetView>
  </sheetViews>
  <sheetFormatPr defaultRowHeight="12.75"/>
  <cols>
    <col min="1" max="1" width="3.85546875" style="12" customWidth="1"/>
    <col min="2" max="2" width="10.28515625" style="12" customWidth="1"/>
    <col min="3" max="3" width="5.85546875" style="12" customWidth="1"/>
    <col min="4" max="4" width="6.28515625" style="12" customWidth="1"/>
    <col min="5" max="5" width="5.7109375" style="12" customWidth="1"/>
    <col min="6" max="6" width="6.28515625" style="12" customWidth="1"/>
    <col min="7" max="7" width="7.28515625" style="12" customWidth="1"/>
    <col min="8" max="8" width="5.42578125" style="12" customWidth="1"/>
    <col min="9" max="9" width="6.28515625" style="12" customWidth="1"/>
    <col min="10" max="10" width="6.7109375" style="12" customWidth="1"/>
    <col min="11" max="11" width="5.7109375" style="12" customWidth="1"/>
    <col min="12" max="12" width="5.85546875" style="12" customWidth="1"/>
    <col min="13" max="13" width="6.28515625" style="12" customWidth="1"/>
    <col min="14" max="14" width="5.7109375" style="12" customWidth="1"/>
    <col min="15" max="15" width="5.5703125" style="12" customWidth="1"/>
    <col min="16" max="16" width="6" style="12" customWidth="1"/>
    <col min="17" max="17" width="5.85546875" style="12" customWidth="1"/>
    <col min="18" max="18" width="6.28515625" style="12" customWidth="1"/>
    <col min="19" max="19" width="7.7109375" style="12" customWidth="1"/>
    <col min="20" max="20" width="6.28515625" style="12" customWidth="1"/>
    <col min="21" max="21" width="5.42578125" style="12" customWidth="1"/>
    <col min="22" max="22" width="5.7109375" style="12" customWidth="1"/>
    <col min="23" max="23" width="5.85546875" style="12" customWidth="1"/>
    <col min="24" max="24" width="4.42578125" style="12" customWidth="1"/>
    <col min="25" max="25" width="10.42578125" style="12" customWidth="1"/>
    <col min="26" max="26" width="4.85546875" style="12" customWidth="1"/>
    <col min="27" max="27" width="7" style="12" customWidth="1"/>
    <col min="28" max="28" width="5.28515625" style="12" customWidth="1"/>
    <col min="29" max="29" width="5.140625" style="12" customWidth="1"/>
    <col min="30" max="30" width="6.140625" style="12" customWidth="1"/>
    <col min="31" max="31" width="5.7109375" style="12" customWidth="1"/>
    <col min="32" max="32" width="4.7109375" style="12" customWidth="1"/>
    <col min="33" max="33" width="5.7109375" style="12" customWidth="1"/>
    <col min="34" max="34" width="5.5703125" style="12" customWidth="1"/>
    <col min="35" max="35" width="5.140625" style="12" customWidth="1"/>
    <col min="36" max="37" width="5.7109375" style="12" customWidth="1"/>
    <col min="38" max="38" width="4.5703125" style="12" customWidth="1"/>
    <col min="39" max="39" width="5.42578125" style="12" customWidth="1"/>
    <col min="40" max="40" width="6.28515625" style="12" customWidth="1"/>
    <col min="41" max="41" width="5.140625" style="12" customWidth="1"/>
    <col min="42" max="42" width="7.42578125" style="12" customWidth="1"/>
    <col min="43" max="43" width="7" style="12" customWidth="1"/>
    <col min="44" max="44" width="5.28515625" style="12" customWidth="1"/>
    <col min="45" max="45" width="6.28515625" style="12" customWidth="1"/>
    <col min="46" max="46" width="6.85546875" style="12" customWidth="1"/>
    <col min="47" max="16384" width="9.140625" style="12"/>
  </cols>
  <sheetData>
    <row r="1" spans="1:47" ht="15" customHeight="1">
      <c r="A1" s="1361" t="s">
        <v>494</v>
      </c>
      <c r="B1" s="1361"/>
      <c r="C1" s="1361"/>
      <c r="D1" s="1361"/>
      <c r="E1" s="1361"/>
      <c r="F1" s="1361"/>
      <c r="G1" s="1361"/>
      <c r="H1" s="1361"/>
      <c r="I1" s="1361"/>
      <c r="J1" s="1361"/>
      <c r="K1" s="1361"/>
      <c r="L1" s="1361"/>
      <c r="M1" s="1361"/>
      <c r="N1" s="1361"/>
      <c r="O1" s="1361"/>
      <c r="P1" s="1361"/>
      <c r="Q1" s="1361"/>
      <c r="R1" s="1361"/>
      <c r="S1" s="1361"/>
      <c r="T1" s="1361"/>
      <c r="U1" s="1361"/>
      <c r="V1" s="1361"/>
      <c r="W1" s="1361"/>
      <c r="AO1" s="855"/>
      <c r="AP1" s="855"/>
      <c r="AQ1" s="855"/>
      <c r="AR1" s="855"/>
      <c r="AS1" s="855"/>
      <c r="AT1" s="855"/>
      <c r="AU1" s="343"/>
    </row>
    <row r="2" spans="1:47" ht="21.75" customHeight="1">
      <c r="A2" s="1860" t="str">
        <f>CONCATENATE("Area, Production and Yield rates of Major Crops in the Blocks of ", District!$A$1," for the year " &amp; District!C2)</f>
        <v>Area, Production and Yield rates of Major Crops in the Blocks of Jalpaiguri for the year 2013-14</v>
      </c>
      <c r="B2" s="1860"/>
      <c r="C2" s="1860"/>
      <c r="D2" s="1860"/>
      <c r="E2" s="1860"/>
      <c r="F2" s="1860"/>
      <c r="G2" s="1860"/>
      <c r="H2" s="1860"/>
      <c r="I2" s="1860"/>
      <c r="J2" s="1860"/>
      <c r="K2" s="1860"/>
      <c r="L2" s="1860"/>
      <c r="M2" s="1860"/>
      <c r="N2" s="1860"/>
      <c r="O2" s="1860"/>
      <c r="P2" s="1860"/>
      <c r="Q2" s="1860"/>
      <c r="R2" s="1860"/>
      <c r="S2" s="1860"/>
      <c r="T2" s="1860"/>
      <c r="U2" s="1860"/>
      <c r="V2" s="1860"/>
      <c r="W2" s="1860"/>
      <c r="X2" s="1861" t="s">
        <v>495</v>
      </c>
      <c r="Y2" s="1861"/>
      <c r="Z2" s="1861"/>
      <c r="AA2" s="1861"/>
      <c r="AB2" s="1861"/>
      <c r="AC2" s="1861"/>
      <c r="AD2" s="1861"/>
      <c r="AE2" s="1861"/>
      <c r="AF2" s="1861"/>
      <c r="AG2" s="1861"/>
      <c r="AH2" s="1861"/>
      <c r="AI2" s="1861"/>
      <c r="AJ2" s="1861"/>
      <c r="AK2" s="1861"/>
      <c r="AL2" s="1861"/>
      <c r="AM2" s="1861"/>
      <c r="AN2" s="1861"/>
      <c r="AO2" s="1861"/>
      <c r="AP2" s="1861"/>
      <c r="AQ2" s="1861"/>
      <c r="AR2" s="1861"/>
      <c r="AS2" s="1861"/>
      <c r="AT2" s="1861"/>
    </row>
    <row r="3" spans="1:47" ht="16.5" customHeight="1">
      <c r="A3" s="1299" t="s">
        <v>1470</v>
      </c>
      <c r="B3" s="1299" t="s">
        <v>1458</v>
      </c>
      <c r="C3" s="1445" t="s">
        <v>937</v>
      </c>
      <c r="D3" s="1444"/>
      <c r="E3" s="1446"/>
      <c r="F3" s="1445" t="s">
        <v>938</v>
      </c>
      <c r="G3" s="1444"/>
      <c r="H3" s="1446"/>
      <c r="I3" s="1445" t="s">
        <v>939</v>
      </c>
      <c r="J3" s="1444"/>
      <c r="K3" s="1446"/>
      <c r="L3" s="1445" t="s">
        <v>940</v>
      </c>
      <c r="M3" s="1444"/>
      <c r="N3" s="1446"/>
      <c r="O3" s="1445" t="s">
        <v>314</v>
      </c>
      <c r="P3" s="1444"/>
      <c r="Q3" s="1446"/>
      <c r="R3" s="1445" t="s">
        <v>951</v>
      </c>
      <c r="S3" s="1444"/>
      <c r="T3" s="1446"/>
      <c r="U3" s="1445" t="s">
        <v>701</v>
      </c>
      <c r="V3" s="1444"/>
      <c r="W3" s="1446"/>
      <c r="X3" s="1299" t="s">
        <v>1470</v>
      </c>
      <c r="Y3" s="1299" t="s">
        <v>1458</v>
      </c>
      <c r="Z3" s="1445" t="s">
        <v>1471</v>
      </c>
      <c r="AA3" s="1444"/>
      <c r="AB3" s="1446"/>
      <c r="AC3" s="1445" t="s">
        <v>718</v>
      </c>
      <c r="AD3" s="1444"/>
      <c r="AE3" s="1446"/>
      <c r="AF3" s="1445" t="s">
        <v>310</v>
      </c>
      <c r="AG3" s="1444"/>
      <c r="AH3" s="1446"/>
      <c r="AI3" s="1445" t="s">
        <v>1472</v>
      </c>
      <c r="AJ3" s="1444"/>
      <c r="AK3" s="1446"/>
      <c r="AL3" s="1445" t="s">
        <v>582</v>
      </c>
      <c r="AM3" s="1444"/>
      <c r="AN3" s="1446"/>
      <c r="AO3" s="1445" t="s">
        <v>954</v>
      </c>
      <c r="AP3" s="1444"/>
      <c r="AQ3" s="1446"/>
      <c r="AR3" s="1445" t="s">
        <v>953</v>
      </c>
      <c r="AS3" s="1444"/>
      <c r="AT3" s="1446"/>
    </row>
    <row r="4" spans="1:47" ht="16.5" customHeight="1">
      <c r="A4" s="1302"/>
      <c r="B4" s="1302"/>
      <c r="C4" s="369" t="s">
        <v>1479</v>
      </c>
      <c r="D4" s="171" t="s">
        <v>1474</v>
      </c>
      <c r="E4" s="371" t="s">
        <v>1475</v>
      </c>
      <c r="F4" s="369" t="s">
        <v>1479</v>
      </c>
      <c r="G4" s="370" t="s">
        <v>1474</v>
      </c>
      <c r="H4" s="371" t="s">
        <v>1475</v>
      </c>
      <c r="I4" s="369" t="s">
        <v>1479</v>
      </c>
      <c r="J4" s="370" t="s">
        <v>1474</v>
      </c>
      <c r="K4" s="371" t="s">
        <v>1475</v>
      </c>
      <c r="L4" s="369" t="s">
        <v>1479</v>
      </c>
      <c r="M4" s="370" t="s">
        <v>1474</v>
      </c>
      <c r="N4" s="371" t="s">
        <v>1475</v>
      </c>
      <c r="O4" s="369" t="s">
        <v>1479</v>
      </c>
      <c r="P4" s="370" t="s">
        <v>1474</v>
      </c>
      <c r="Q4" s="371" t="s">
        <v>1475</v>
      </c>
      <c r="R4" s="369" t="s">
        <v>1479</v>
      </c>
      <c r="S4" s="370" t="s">
        <v>1476</v>
      </c>
      <c r="T4" s="371" t="s">
        <v>1477</v>
      </c>
      <c r="U4" s="369" t="s">
        <v>1479</v>
      </c>
      <c r="V4" s="370" t="s">
        <v>1474</v>
      </c>
      <c r="W4" s="371" t="s">
        <v>1475</v>
      </c>
      <c r="X4" s="1302"/>
      <c r="Y4" s="1302"/>
      <c r="Z4" s="369" t="s">
        <v>1479</v>
      </c>
      <c r="AA4" s="370" t="s">
        <v>1474</v>
      </c>
      <c r="AB4" s="371" t="s">
        <v>1475</v>
      </c>
      <c r="AC4" s="369" t="s">
        <v>1479</v>
      </c>
      <c r="AD4" s="370" t="s">
        <v>1474</v>
      </c>
      <c r="AE4" s="371" t="s">
        <v>1475</v>
      </c>
      <c r="AF4" s="369" t="s">
        <v>1479</v>
      </c>
      <c r="AG4" s="370" t="s">
        <v>1474</v>
      </c>
      <c r="AH4" s="371" t="s">
        <v>1475</v>
      </c>
      <c r="AI4" s="369" t="s">
        <v>1479</v>
      </c>
      <c r="AJ4" s="370" t="s">
        <v>1474</v>
      </c>
      <c r="AK4" s="371" t="s">
        <v>1475</v>
      </c>
      <c r="AL4" s="369" t="s">
        <v>1479</v>
      </c>
      <c r="AM4" s="370" t="s">
        <v>1474</v>
      </c>
      <c r="AN4" s="371" t="s">
        <v>1475</v>
      </c>
      <c r="AO4" s="369" t="s">
        <v>1479</v>
      </c>
      <c r="AP4" s="370" t="s">
        <v>1474</v>
      </c>
      <c r="AQ4" s="371" t="s">
        <v>1475</v>
      </c>
      <c r="AR4" s="369" t="s">
        <v>1479</v>
      </c>
      <c r="AS4" s="370" t="s">
        <v>1474</v>
      </c>
      <c r="AT4" s="371" t="s">
        <v>1475</v>
      </c>
    </row>
    <row r="5" spans="1:47" ht="16.5" customHeight="1">
      <c r="A5" s="137" t="s">
        <v>278</v>
      </c>
      <c r="B5" s="87" t="s">
        <v>279</v>
      </c>
      <c r="C5" s="92" t="s">
        <v>280</v>
      </c>
      <c r="D5" s="87" t="s">
        <v>281</v>
      </c>
      <c r="E5" s="87" t="s">
        <v>282</v>
      </c>
      <c r="F5" s="92" t="s">
        <v>283</v>
      </c>
      <c r="G5" s="87" t="s">
        <v>284</v>
      </c>
      <c r="H5" s="58" t="s">
        <v>301</v>
      </c>
      <c r="I5" s="92" t="s">
        <v>302</v>
      </c>
      <c r="J5" s="87" t="s">
        <v>303</v>
      </c>
      <c r="K5" s="58" t="s">
        <v>304</v>
      </c>
      <c r="L5" s="92" t="s">
        <v>344</v>
      </c>
      <c r="M5" s="87" t="s">
        <v>345</v>
      </c>
      <c r="N5" s="58" t="s">
        <v>346</v>
      </c>
      <c r="O5" s="92" t="s">
        <v>347</v>
      </c>
      <c r="P5" s="87" t="s">
        <v>348</v>
      </c>
      <c r="Q5" s="58" t="s">
        <v>349</v>
      </c>
      <c r="R5" s="92" t="s">
        <v>351</v>
      </c>
      <c r="S5" s="87" t="s">
        <v>350</v>
      </c>
      <c r="T5" s="58" t="s">
        <v>892</v>
      </c>
      <c r="U5" s="92" t="s">
        <v>893</v>
      </c>
      <c r="V5" s="87" t="s">
        <v>894</v>
      </c>
      <c r="W5" s="58" t="s">
        <v>1407</v>
      </c>
      <c r="X5" s="137" t="s">
        <v>278</v>
      </c>
      <c r="Y5" s="58" t="s">
        <v>279</v>
      </c>
      <c r="Z5" s="92" t="s">
        <v>1408</v>
      </c>
      <c r="AA5" s="87" t="s">
        <v>1409</v>
      </c>
      <c r="AB5" s="58" t="s">
        <v>1410</v>
      </c>
      <c r="AC5" s="92" t="s">
        <v>1411</v>
      </c>
      <c r="AD5" s="87" t="s">
        <v>1412</v>
      </c>
      <c r="AE5" s="58" t="s">
        <v>1413</v>
      </c>
      <c r="AF5" s="92" t="s">
        <v>1414</v>
      </c>
      <c r="AG5" s="87" t="s">
        <v>1415</v>
      </c>
      <c r="AH5" s="58" t="s">
        <v>1416</v>
      </c>
      <c r="AI5" s="92" t="s">
        <v>1417</v>
      </c>
      <c r="AJ5" s="87" t="s">
        <v>1418</v>
      </c>
      <c r="AK5" s="58" t="s">
        <v>1419</v>
      </c>
      <c r="AL5" s="92" t="s">
        <v>1425</v>
      </c>
      <c r="AM5" s="87" t="s">
        <v>1427</v>
      </c>
      <c r="AN5" s="58" t="s">
        <v>1426</v>
      </c>
      <c r="AO5" s="92" t="s">
        <v>1428</v>
      </c>
      <c r="AP5" s="87" t="s">
        <v>1429</v>
      </c>
      <c r="AQ5" s="58" t="s">
        <v>1430</v>
      </c>
      <c r="AR5" s="92" t="s">
        <v>1431</v>
      </c>
      <c r="AS5" s="87" t="s">
        <v>1432</v>
      </c>
      <c r="AT5" s="58" t="s">
        <v>1433</v>
      </c>
    </row>
    <row r="6" spans="1:47" ht="30" customHeight="1">
      <c r="A6" s="91">
        <v>1</v>
      </c>
      <c r="B6" s="361" t="s">
        <v>561</v>
      </c>
      <c r="C6" s="178">
        <v>362</v>
      </c>
      <c r="D6" s="975">
        <v>0.68500000000000005</v>
      </c>
      <c r="E6" s="176">
        <v>1892</v>
      </c>
      <c r="F6" s="178">
        <v>2555</v>
      </c>
      <c r="G6" s="975">
        <v>5.0739999999999998</v>
      </c>
      <c r="H6" s="176">
        <v>1986</v>
      </c>
      <c r="I6" s="178">
        <v>11722</v>
      </c>
      <c r="J6" s="975">
        <v>23.486999999999998</v>
      </c>
      <c r="K6" s="176">
        <v>2004</v>
      </c>
      <c r="L6" s="178">
        <v>999</v>
      </c>
      <c r="M6" s="975">
        <v>2.1419999999999999</v>
      </c>
      <c r="N6" s="176">
        <v>2144</v>
      </c>
      <c r="O6" s="178">
        <v>18</v>
      </c>
      <c r="P6" s="975">
        <v>3.7999999999999999E-2</v>
      </c>
      <c r="Q6" s="176">
        <v>2129</v>
      </c>
      <c r="R6" s="178">
        <v>4347</v>
      </c>
      <c r="S6" s="975">
        <v>60.945</v>
      </c>
      <c r="T6" s="1252">
        <v>14.02</v>
      </c>
      <c r="U6" s="1255" t="s">
        <v>570</v>
      </c>
      <c r="V6" s="975" t="s">
        <v>570</v>
      </c>
      <c r="W6" s="176" t="s">
        <v>570</v>
      </c>
      <c r="X6" s="91">
        <v>1</v>
      </c>
      <c r="Y6" s="514" t="s">
        <v>561</v>
      </c>
      <c r="Z6" s="1133" t="s">
        <v>570</v>
      </c>
      <c r="AA6" s="1214" t="s">
        <v>570</v>
      </c>
      <c r="AB6" s="1005" t="s">
        <v>570</v>
      </c>
      <c r="AC6" s="1133" t="s">
        <v>570</v>
      </c>
      <c r="AD6" s="1214" t="s">
        <v>570</v>
      </c>
      <c r="AE6" s="1005" t="s">
        <v>570</v>
      </c>
      <c r="AF6" s="1133" t="s">
        <v>570</v>
      </c>
      <c r="AG6" s="1214" t="s">
        <v>570</v>
      </c>
      <c r="AH6" s="1005" t="s">
        <v>570</v>
      </c>
      <c r="AI6" s="1133">
        <v>776</v>
      </c>
      <c r="AJ6" s="1214">
        <v>0.46</v>
      </c>
      <c r="AK6" s="1005">
        <v>593</v>
      </c>
      <c r="AL6" s="1133">
        <v>74</v>
      </c>
      <c r="AM6" s="1214">
        <v>4.5999999999999999E-2</v>
      </c>
      <c r="AN6" s="1005">
        <v>628</v>
      </c>
      <c r="AO6" s="1133">
        <v>2798</v>
      </c>
      <c r="AP6" s="1214">
        <v>84.349000000000004</v>
      </c>
      <c r="AQ6" s="1005">
        <v>30146</v>
      </c>
      <c r="AR6" s="1133" t="s">
        <v>570</v>
      </c>
      <c r="AS6" s="1214" t="s">
        <v>570</v>
      </c>
      <c r="AT6" s="1005" t="s">
        <v>570</v>
      </c>
    </row>
    <row r="7" spans="1:47" ht="30" customHeight="1">
      <c r="A7" s="91">
        <v>2</v>
      </c>
      <c r="B7" s="361" t="s">
        <v>1149</v>
      </c>
      <c r="C7" s="178">
        <v>1159</v>
      </c>
      <c r="D7" s="975">
        <v>2.2210000000000001</v>
      </c>
      <c r="E7" s="176">
        <v>1917</v>
      </c>
      <c r="F7" s="178">
        <v>38465</v>
      </c>
      <c r="G7" s="975">
        <v>90.197000000000003</v>
      </c>
      <c r="H7" s="176">
        <v>2334</v>
      </c>
      <c r="I7" s="178">
        <v>2125</v>
      </c>
      <c r="J7" s="975">
        <v>5.0940000000000003</v>
      </c>
      <c r="K7" s="1256">
        <v>2397</v>
      </c>
      <c r="L7" s="178">
        <v>1626</v>
      </c>
      <c r="M7" s="975">
        <v>2.794</v>
      </c>
      <c r="N7" s="176">
        <v>1718</v>
      </c>
      <c r="O7" s="178">
        <v>34</v>
      </c>
      <c r="P7" s="975">
        <v>7.1999999999999995E-2</v>
      </c>
      <c r="Q7" s="176">
        <v>2129</v>
      </c>
      <c r="R7" s="178">
        <v>5608</v>
      </c>
      <c r="S7" s="975">
        <v>52.94</v>
      </c>
      <c r="T7" s="1252">
        <v>9.44</v>
      </c>
      <c r="U7" s="178" t="s">
        <v>570</v>
      </c>
      <c r="V7" s="975" t="s">
        <v>570</v>
      </c>
      <c r="W7" s="176" t="s">
        <v>570</v>
      </c>
      <c r="X7" s="91">
        <v>2</v>
      </c>
      <c r="Y7" s="514" t="s">
        <v>1149</v>
      </c>
      <c r="Z7" s="178">
        <v>43</v>
      </c>
      <c r="AA7" s="975">
        <v>2.8000000000000001E-2</v>
      </c>
      <c r="AB7" s="176">
        <v>643</v>
      </c>
      <c r="AC7" s="178" t="s">
        <v>570</v>
      </c>
      <c r="AD7" s="975" t="s">
        <v>570</v>
      </c>
      <c r="AE7" s="176" t="s">
        <v>570</v>
      </c>
      <c r="AF7" s="178" t="s">
        <v>570</v>
      </c>
      <c r="AG7" s="975" t="s">
        <v>570</v>
      </c>
      <c r="AH7" s="176" t="s">
        <v>570</v>
      </c>
      <c r="AI7" s="178">
        <v>844</v>
      </c>
      <c r="AJ7" s="975">
        <v>0.503</v>
      </c>
      <c r="AK7" s="176">
        <v>595</v>
      </c>
      <c r="AL7" s="178">
        <v>491</v>
      </c>
      <c r="AM7" s="975">
        <v>0.29199999999999998</v>
      </c>
      <c r="AN7" s="176">
        <v>594</v>
      </c>
      <c r="AO7" s="178">
        <v>3605</v>
      </c>
      <c r="AP7" s="975">
        <v>74.093999999999994</v>
      </c>
      <c r="AQ7" s="176">
        <v>20553</v>
      </c>
      <c r="AR7" s="178">
        <v>110</v>
      </c>
      <c r="AS7" s="975">
        <v>11.26</v>
      </c>
      <c r="AT7" s="176">
        <v>102366</v>
      </c>
    </row>
    <row r="8" spans="1:47" ht="30" customHeight="1">
      <c r="A8" s="91">
        <v>3</v>
      </c>
      <c r="B8" s="361" t="s">
        <v>549</v>
      </c>
      <c r="C8" s="178">
        <v>3337</v>
      </c>
      <c r="D8" s="975">
        <v>7.1029999999999998</v>
      </c>
      <c r="E8" s="176">
        <v>2128</v>
      </c>
      <c r="F8" s="178">
        <v>44174</v>
      </c>
      <c r="G8" s="975">
        <v>119.51300000000001</v>
      </c>
      <c r="H8" s="176">
        <v>2706</v>
      </c>
      <c r="I8" s="178">
        <v>1478</v>
      </c>
      <c r="J8" s="975">
        <v>4.4139999999999997</v>
      </c>
      <c r="K8" s="176">
        <v>2986</v>
      </c>
      <c r="L8" s="178">
        <v>3005</v>
      </c>
      <c r="M8" s="975">
        <v>6.7320000000000002</v>
      </c>
      <c r="N8" s="176">
        <v>2240</v>
      </c>
      <c r="O8" s="178" t="s">
        <v>570</v>
      </c>
      <c r="P8" s="975" t="s">
        <v>570</v>
      </c>
      <c r="Q8" s="176" t="s">
        <v>570</v>
      </c>
      <c r="R8" s="178">
        <v>8964</v>
      </c>
      <c r="S8" s="975">
        <v>117.608</v>
      </c>
      <c r="T8" s="1252">
        <v>13.12</v>
      </c>
      <c r="U8" s="178">
        <v>19</v>
      </c>
      <c r="V8" s="975">
        <v>7.0000000000000001E-3</v>
      </c>
      <c r="W8" s="176">
        <v>364</v>
      </c>
      <c r="X8" s="91">
        <v>3</v>
      </c>
      <c r="Y8" s="514" t="s">
        <v>549</v>
      </c>
      <c r="Z8" s="178">
        <v>74</v>
      </c>
      <c r="AA8" s="975">
        <v>3.9E-2</v>
      </c>
      <c r="AB8" s="176">
        <v>526</v>
      </c>
      <c r="AC8" s="178">
        <v>10</v>
      </c>
      <c r="AD8" s="975">
        <v>6.0000000000000001E-3</v>
      </c>
      <c r="AE8" s="176">
        <v>618</v>
      </c>
      <c r="AF8" s="178">
        <v>17</v>
      </c>
      <c r="AG8" s="975">
        <v>1.9E-2</v>
      </c>
      <c r="AH8" s="176">
        <v>1094</v>
      </c>
      <c r="AI8" s="178">
        <v>1184</v>
      </c>
      <c r="AJ8" s="975">
        <v>0.81599999999999995</v>
      </c>
      <c r="AK8" s="176">
        <v>689</v>
      </c>
      <c r="AL8" s="178">
        <v>228</v>
      </c>
      <c r="AM8" s="975">
        <v>0.17299999999999999</v>
      </c>
      <c r="AN8" s="176">
        <v>757</v>
      </c>
      <c r="AO8" s="178">
        <v>5884</v>
      </c>
      <c r="AP8" s="975">
        <v>147.71199999999999</v>
      </c>
      <c r="AQ8" s="176">
        <v>25104</v>
      </c>
      <c r="AR8" s="178">
        <v>8</v>
      </c>
      <c r="AS8" s="975">
        <v>0.81899999999999995</v>
      </c>
      <c r="AT8" s="176">
        <v>102366</v>
      </c>
    </row>
    <row r="9" spans="1:47" ht="30" customHeight="1">
      <c r="A9" s="91">
        <v>4</v>
      </c>
      <c r="B9" s="361" t="s">
        <v>985</v>
      </c>
      <c r="C9" s="178">
        <v>3246</v>
      </c>
      <c r="D9" s="975">
        <v>8.891</v>
      </c>
      <c r="E9" s="176">
        <v>2739</v>
      </c>
      <c r="F9" s="178">
        <v>21721</v>
      </c>
      <c r="G9" s="975">
        <v>48.311</v>
      </c>
      <c r="H9" s="176">
        <v>2224</v>
      </c>
      <c r="I9" s="178">
        <v>261</v>
      </c>
      <c r="J9" s="975">
        <v>0.79</v>
      </c>
      <c r="K9" s="176">
        <v>3029</v>
      </c>
      <c r="L9" s="178">
        <v>3210</v>
      </c>
      <c r="M9" s="975">
        <v>8.9350000000000005</v>
      </c>
      <c r="N9" s="176">
        <v>2784</v>
      </c>
      <c r="O9" s="178">
        <v>294</v>
      </c>
      <c r="P9" s="975">
        <v>0.626</v>
      </c>
      <c r="Q9" s="176">
        <v>2129</v>
      </c>
      <c r="R9" s="178">
        <v>5958</v>
      </c>
      <c r="S9" s="975">
        <v>63.155000000000001</v>
      </c>
      <c r="T9" s="1252">
        <v>10.6</v>
      </c>
      <c r="U9" s="178">
        <v>73</v>
      </c>
      <c r="V9" s="975">
        <v>2.7E-2</v>
      </c>
      <c r="W9" s="176">
        <v>370</v>
      </c>
      <c r="X9" s="91">
        <v>4</v>
      </c>
      <c r="Y9" s="514" t="s">
        <v>985</v>
      </c>
      <c r="Z9" s="178">
        <v>71</v>
      </c>
      <c r="AA9" s="975">
        <v>3.1E-2</v>
      </c>
      <c r="AB9" s="176">
        <v>430</v>
      </c>
      <c r="AC9" s="178">
        <v>10</v>
      </c>
      <c r="AD9" s="975">
        <v>6.0000000000000001E-3</v>
      </c>
      <c r="AE9" s="176">
        <v>649</v>
      </c>
      <c r="AF9" s="178" t="s">
        <v>570</v>
      </c>
      <c r="AG9" s="975" t="s">
        <v>570</v>
      </c>
      <c r="AH9" s="176" t="s">
        <v>570</v>
      </c>
      <c r="AI9" s="178">
        <v>996</v>
      </c>
      <c r="AJ9" s="975">
        <v>0.56100000000000005</v>
      </c>
      <c r="AK9" s="176">
        <v>562</v>
      </c>
      <c r="AL9" s="178">
        <v>22</v>
      </c>
      <c r="AM9" s="975">
        <v>1.7000000000000001E-2</v>
      </c>
      <c r="AN9" s="176">
        <v>759</v>
      </c>
      <c r="AO9" s="178">
        <v>7691</v>
      </c>
      <c r="AP9" s="975">
        <v>183.54599999999999</v>
      </c>
      <c r="AQ9" s="176">
        <v>23865</v>
      </c>
      <c r="AR9" s="178">
        <v>29</v>
      </c>
      <c r="AS9" s="975">
        <v>2.9689999999999999</v>
      </c>
      <c r="AT9" s="1254">
        <v>102366</v>
      </c>
    </row>
    <row r="10" spans="1:47" ht="30" customHeight="1">
      <c r="A10" s="91">
        <v>5</v>
      </c>
      <c r="B10" s="361" t="s">
        <v>552</v>
      </c>
      <c r="C10" s="178">
        <v>991</v>
      </c>
      <c r="D10" s="975">
        <v>2.2290000000000001</v>
      </c>
      <c r="E10" s="176">
        <v>2249</v>
      </c>
      <c r="F10" s="178">
        <v>11274</v>
      </c>
      <c r="G10" s="975">
        <v>23.527999999999999</v>
      </c>
      <c r="H10" s="176">
        <v>2087</v>
      </c>
      <c r="I10" s="178">
        <v>605</v>
      </c>
      <c r="J10" s="975">
        <v>1.131</v>
      </c>
      <c r="K10" s="176">
        <v>1869</v>
      </c>
      <c r="L10" s="178">
        <v>570</v>
      </c>
      <c r="M10" s="975">
        <v>0.89</v>
      </c>
      <c r="N10" s="176">
        <v>1562</v>
      </c>
      <c r="O10" s="178">
        <v>191</v>
      </c>
      <c r="P10" s="975">
        <v>0.40699999999999997</v>
      </c>
      <c r="Q10" s="176">
        <v>2129</v>
      </c>
      <c r="R10" s="178">
        <v>1434</v>
      </c>
      <c r="S10" s="975">
        <v>17.71</v>
      </c>
      <c r="T10" s="1252">
        <v>12.35</v>
      </c>
      <c r="U10" s="178" t="s">
        <v>570</v>
      </c>
      <c r="V10" s="975" t="s">
        <v>570</v>
      </c>
      <c r="W10" s="176" t="s">
        <v>570</v>
      </c>
      <c r="X10" s="91">
        <v>5</v>
      </c>
      <c r="Y10" s="514" t="s">
        <v>552</v>
      </c>
      <c r="Z10" s="178">
        <v>11</v>
      </c>
      <c r="AA10" s="975">
        <v>4.0000000000000001E-3</v>
      </c>
      <c r="AB10" s="176">
        <v>352</v>
      </c>
      <c r="AC10" s="178" t="s">
        <v>570</v>
      </c>
      <c r="AD10" s="975" t="s">
        <v>570</v>
      </c>
      <c r="AE10" s="176" t="s">
        <v>570</v>
      </c>
      <c r="AF10" s="178" t="s">
        <v>570</v>
      </c>
      <c r="AG10" s="975" t="s">
        <v>570</v>
      </c>
      <c r="AH10" s="176" t="s">
        <v>570</v>
      </c>
      <c r="AI10" s="178">
        <v>100</v>
      </c>
      <c r="AJ10" s="975">
        <v>5.8999999999999997E-2</v>
      </c>
      <c r="AK10" s="176">
        <v>588</v>
      </c>
      <c r="AL10" s="178" t="s">
        <v>570</v>
      </c>
      <c r="AM10" s="975" t="s">
        <v>570</v>
      </c>
      <c r="AN10" s="176" t="s">
        <v>570</v>
      </c>
      <c r="AO10" s="178">
        <v>810</v>
      </c>
      <c r="AP10" s="975">
        <v>17.449000000000002</v>
      </c>
      <c r="AQ10" s="176">
        <v>21542</v>
      </c>
      <c r="AR10" s="178">
        <v>14</v>
      </c>
      <c r="AS10" s="975">
        <v>1.4330000000000001</v>
      </c>
      <c r="AT10" s="1254">
        <v>102366</v>
      </c>
    </row>
    <row r="11" spans="1:47" ht="30" customHeight="1">
      <c r="A11" s="91">
        <v>6</v>
      </c>
      <c r="B11" s="361" t="s">
        <v>553</v>
      </c>
      <c r="C11" s="178">
        <v>412</v>
      </c>
      <c r="D11" s="975">
        <v>0.84699999999999998</v>
      </c>
      <c r="E11" s="176">
        <v>2056</v>
      </c>
      <c r="F11" s="178">
        <v>2710</v>
      </c>
      <c r="G11" s="975">
        <v>4.7240000000000002</v>
      </c>
      <c r="H11" s="176">
        <v>1743</v>
      </c>
      <c r="I11" s="178">
        <v>39</v>
      </c>
      <c r="J11" s="975">
        <v>8.5999999999999993E-2</v>
      </c>
      <c r="K11" s="176">
        <v>2199</v>
      </c>
      <c r="L11" s="178">
        <v>133</v>
      </c>
      <c r="M11" s="975">
        <v>0.249</v>
      </c>
      <c r="N11" s="176">
        <v>1871</v>
      </c>
      <c r="O11" s="178">
        <v>120</v>
      </c>
      <c r="P11" s="975">
        <v>0.25600000000000001</v>
      </c>
      <c r="Q11" s="176">
        <v>2129</v>
      </c>
      <c r="R11" s="178">
        <v>290</v>
      </c>
      <c r="S11" s="975">
        <v>2.6539999999999999</v>
      </c>
      <c r="T11" s="1252">
        <v>9.15</v>
      </c>
      <c r="U11" s="178" t="s">
        <v>570</v>
      </c>
      <c r="V11" s="975" t="s">
        <v>570</v>
      </c>
      <c r="W11" s="176" t="s">
        <v>570</v>
      </c>
      <c r="X11" s="91">
        <v>6</v>
      </c>
      <c r="Y11" s="514" t="s">
        <v>553</v>
      </c>
      <c r="Z11" s="1255" t="s">
        <v>570</v>
      </c>
      <c r="AA11" s="975" t="s">
        <v>570</v>
      </c>
      <c r="AB11" s="176" t="s">
        <v>570</v>
      </c>
      <c r="AC11" s="178" t="s">
        <v>570</v>
      </c>
      <c r="AD11" s="975" t="s">
        <v>570</v>
      </c>
      <c r="AE11" s="176" t="s">
        <v>570</v>
      </c>
      <c r="AF11" s="178" t="s">
        <v>570</v>
      </c>
      <c r="AG11" s="975" t="s">
        <v>570</v>
      </c>
      <c r="AH11" s="176" t="s">
        <v>570</v>
      </c>
      <c r="AI11" s="178">
        <v>144</v>
      </c>
      <c r="AJ11" s="975">
        <v>5.7000000000000002E-2</v>
      </c>
      <c r="AK11" s="176">
        <v>397</v>
      </c>
      <c r="AL11" s="178">
        <v>103</v>
      </c>
      <c r="AM11" s="975">
        <v>7.8E-2</v>
      </c>
      <c r="AN11" s="176">
        <v>759</v>
      </c>
      <c r="AO11" s="178">
        <v>240</v>
      </c>
      <c r="AP11" s="975">
        <v>4.21</v>
      </c>
      <c r="AQ11" s="176">
        <v>17543</v>
      </c>
      <c r="AR11" s="178" t="s">
        <v>570</v>
      </c>
      <c r="AS11" s="975" t="s">
        <v>570</v>
      </c>
      <c r="AT11" s="176" t="s">
        <v>570</v>
      </c>
    </row>
    <row r="12" spans="1:47" ht="30" customHeight="1">
      <c r="A12" s="91">
        <v>7</v>
      </c>
      <c r="B12" s="361" t="s">
        <v>554</v>
      </c>
      <c r="C12" s="178">
        <v>380</v>
      </c>
      <c r="D12" s="975">
        <v>0.748</v>
      </c>
      <c r="E12" s="176">
        <v>1968</v>
      </c>
      <c r="F12" s="178">
        <v>2912</v>
      </c>
      <c r="G12" s="975">
        <v>5.6180000000000003</v>
      </c>
      <c r="H12" s="176">
        <v>1929</v>
      </c>
      <c r="I12" s="178">
        <v>75</v>
      </c>
      <c r="J12" s="975">
        <v>0.112</v>
      </c>
      <c r="K12" s="176">
        <v>1487</v>
      </c>
      <c r="L12" s="178">
        <v>146</v>
      </c>
      <c r="M12" s="975">
        <v>0.39100000000000001</v>
      </c>
      <c r="N12" s="176">
        <v>2675</v>
      </c>
      <c r="O12" s="178">
        <v>557</v>
      </c>
      <c r="P12" s="975">
        <v>0.89300000000000002</v>
      </c>
      <c r="Q12" s="176">
        <v>1603</v>
      </c>
      <c r="R12" s="178">
        <v>170</v>
      </c>
      <c r="S12" s="975">
        <v>2.6160000000000001</v>
      </c>
      <c r="T12" s="1252">
        <v>15.39</v>
      </c>
      <c r="U12" s="178">
        <v>70</v>
      </c>
      <c r="V12" s="975">
        <v>2.5999999999999999E-2</v>
      </c>
      <c r="W12" s="176">
        <v>370</v>
      </c>
      <c r="X12" s="91">
        <v>7</v>
      </c>
      <c r="Y12" s="514" t="s">
        <v>554</v>
      </c>
      <c r="Z12" s="178" t="s">
        <v>570</v>
      </c>
      <c r="AA12" s="975" t="s">
        <v>570</v>
      </c>
      <c r="AB12" s="176" t="s">
        <v>570</v>
      </c>
      <c r="AC12" s="178">
        <v>40</v>
      </c>
      <c r="AD12" s="975">
        <v>2.4E-2</v>
      </c>
      <c r="AE12" s="176">
        <v>608</v>
      </c>
      <c r="AF12" s="178" t="s">
        <v>570</v>
      </c>
      <c r="AG12" s="975" t="s">
        <v>570</v>
      </c>
      <c r="AH12" s="176" t="s">
        <v>570</v>
      </c>
      <c r="AI12" s="178">
        <v>122</v>
      </c>
      <c r="AJ12" s="975">
        <v>6.3E-2</v>
      </c>
      <c r="AK12" s="176">
        <v>519</v>
      </c>
      <c r="AL12" s="178" t="s">
        <v>570</v>
      </c>
      <c r="AM12" s="975" t="s">
        <v>570</v>
      </c>
      <c r="AN12" s="176" t="s">
        <v>570</v>
      </c>
      <c r="AO12" s="178">
        <v>396</v>
      </c>
      <c r="AP12" s="975">
        <v>9.1959999999999997</v>
      </c>
      <c r="AQ12" s="176">
        <v>23222</v>
      </c>
      <c r="AR12" s="178" t="s">
        <v>570</v>
      </c>
      <c r="AS12" s="975" t="s">
        <v>570</v>
      </c>
      <c r="AT12" s="176" t="s">
        <v>570</v>
      </c>
    </row>
    <row r="13" spans="1:47" ht="30" customHeight="1">
      <c r="A13" s="91">
        <v>8</v>
      </c>
      <c r="B13" s="361" t="s">
        <v>555</v>
      </c>
      <c r="C13" s="178">
        <v>2507</v>
      </c>
      <c r="D13" s="975">
        <v>4.806</v>
      </c>
      <c r="E13" s="176">
        <v>1917</v>
      </c>
      <c r="F13" s="178">
        <v>10536</v>
      </c>
      <c r="G13" s="975">
        <v>21.175000000000001</v>
      </c>
      <c r="H13" s="176">
        <v>2010</v>
      </c>
      <c r="I13" s="178">
        <v>339</v>
      </c>
      <c r="J13" s="975">
        <v>0.86799999999999999</v>
      </c>
      <c r="K13" s="176">
        <v>2562</v>
      </c>
      <c r="L13" s="178">
        <v>1272</v>
      </c>
      <c r="M13" s="975">
        <v>3.4660000000000002</v>
      </c>
      <c r="N13" s="176">
        <v>2725</v>
      </c>
      <c r="O13" s="178">
        <v>222</v>
      </c>
      <c r="P13" s="975">
        <v>1.73</v>
      </c>
      <c r="Q13" s="176">
        <v>7795</v>
      </c>
      <c r="R13" s="178">
        <v>823</v>
      </c>
      <c r="S13" s="975">
        <v>11.004</v>
      </c>
      <c r="T13" s="1252">
        <v>13.37</v>
      </c>
      <c r="U13" s="178">
        <v>520</v>
      </c>
      <c r="V13" s="975">
        <v>0.27800000000000002</v>
      </c>
      <c r="W13" s="176">
        <v>535</v>
      </c>
      <c r="X13" s="91">
        <v>8</v>
      </c>
      <c r="Y13" s="514" t="s">
        <v>555</v>
      </c>
      <c r="Z13" s="178">
        <v>106</v>
      </c>
      <c r="AA13" s="975">
        <v>0.08</v>
      </c>
      <c r="AB13" s="176">
        <v>751</v>
      </c>
      <c r="AC13" s="178">
        <v>118</v>
      </c>
      <c r="AD13" s="975">
        <v>0.11899999999999999</v>
      </c>
      <c r="AE13" s="176">
        <v>1007</v>
      </c>
      <c r="AF13" s="178" t="s">
        <v>570</v>
      </c>
      <c r="AG13" s="975" t="s">
        <v>570</v>
      </c>
      <c r="AH13" s="176" t="s">
        <v>570</v>
      </c>
      <c r="AI13" s="178">
        <v>470</v>
      </c>
      <c r="AJ13" s="975">
        <v>0.33200000000000002</v>
      </c>
      <c r="AK13" s="176">
        <v>706</v>
      </c>
      <c r="AL13" s="178">
        <v>8</v>
      </c>
      <c r="AM13" s="975">
        <v>6.0000000000000001E-3</v>
      </c>
      <c r="AN13" s="176">
        <v>759</v>
      </c>
      <c r="AO13" s="178">
        <v>2483</v>
      </c>
      <c r="AP13" s="975">
        <v>64.503</v>
      </c>
      <c r="AQ13" s="176">
        <v>25798</v>
      </c>
      <c r="AR13" s="178" t="s">
        <v>570</v>
      </c>
      <c r="AS13" s="975" t="s">
        <v>570</v>
      </c>
      <c r="AT13" s="176" t="s">
        <v>570</v>
      </c>
    </row>
    <row r="14" spans="1:47" ht="30" customHeight="1">
      <c r="A14" s="91">
        <v>9</v>
      </c>
      <c r="B14" s="361" t="s">
        <v>557</v>
      </c>
      <c r="C14" s="178">
        <v>8598</v>
      </c>
      <c r="D14" s="975">
        <v>15.023999999999999</v>
      </c>
      <c r="E14" s="176">
        <v>1747</v>
      </c>
      <c r="F14" s="178">
        <v>1908</v>
      </c>
      <c r="G14" s="975">
        <v>3.036</v>
      </c>
      <c r="H14" s="176">
        <v>1591</v>
      </c>
      <c r="I14" s="178">
        <v>1581</v>
      </c>
      <c r="J14" s="975">
        <v>4.6219999999999999</v>
      </c>
      <c r="K14" s="176">
        <v>2923</v>
      </c>
      <c r="L14" s="178">
        <v>1965</v>
      </c>
      <c r="M14" s="975">
        <v>4.4560000000000004</v>
      </c>
      <c r="N14" s="176">
        <v>2268</v>
      </c>
      <c r="O14" s="178">
        <v>322</v>
      </c>
      <c r="P14" s="975">
        <v>2.5099999999999998</v>
      </c>
      <c r="Q14" s="176">
        <v>7795</v>
      </c>
      <c r="R14" s="178">
        <v>2343</v>
      </c>
      <c r="S14" s="975">
        <v>31.584</v>
      </c>
      <c r="T14" s="1252">
        <v>13.48</v>
      </c>
      <c r="U14" s="178">
        <v>703</v>
      </c>
      <c r="V14" s="975">
        <v>0.47199999999999998</v>
      </c>
      <c r="W14" s="176">
        <v>671</v>
      </c>
      <c r="X14" s="91">
        <v>9</v>
      </c>
      <c r="Y14" s="514" t="s">
        <v>557</v>
      </c>
      <c r="Z14" s="178">
        <v>754</v>
      </c>
      <c r="AA14" s="975">
        <v>0.45300000000000001</v>
      </c>
      <c r="AB14" s="176">
        <v>600</v>
      </c>
      <c r="AC14" s="178">
        <v>154</v>
      </c>
      <c r="AD14" s="975">
        <v>0.14599999999999999</v>
      </c>
      <c r="AE14" s="176">
        <v>950</v>
      </c>
      <c r="AF14" s="178" t="s">
        <v>570</v>
      </c>
      <c r="AG14" s="975" t="s">
        <v>570</v>
      </c>
      <c r="AH14" s="176" t="s">
        <v>570</v>
      </c>
      <c r="AI14" s="178">
        <v>180</v>
      </c>
      <c r="AJ14" s="975">
        <v>8.7999999999999995E-2</v>
      </c>
      <c r="AK14" s="176">
        <v>490</v>
      </c>
      <c r="AL14" s="178">
        <v>62</v>
      </c>
      <c r="AM14" s="975">
        <v>4.7E-2</v>
      </c>
      <c r="AN14" s="176">
        <v>759</v>
      </c>
      <c r="AO14" s="178">
        <v>8459</v>
      </c>
      <c r="AP14" s="975">
        <v>215.34100000000001</v>
      </c>
      <c r="AQ14" s="176">
        <v>25457</v>
      </c>
      <c r="AR14" s="178">
        <v>9</v>
      </c>
      <c r="AS14" s="975">
        <v>0.92100000000000004</v>
      </c>
      <c r="AT14" s="1254">
        <v>102366</v>
      </c>
    </row>
    <row r="15" spans="1:47" ht="30" customHeight="1">
      <c r="A15" s="91">
        <v>10</v>
      </c>
      <c r="B15" s="519" t="s">
        <v>560</v>
      </c>
      <c r="C15" s="178">
        <v>1267</v>
      </c>
      <c r="D15" s="975">
        <v>3.0169999999999999</v>
      </c>
      <c r="E15" s="176">
        <v>2381</v>
      </c>
      <c r="F15" s="178">
        <v>5663</v>
      </c>
      <c r="G15" s="975">
        <v>12.369</v>
      </c>
      <c r="H15" s="176">
        <v>2184</v>
      </c>
      <c r="I15" s="178">
        <v>262</v>
      </c>
      <c r="J15" s="975">
        <v>0.55500000000000005</v>
      </c>
      <c r="K15" s="176">
        <v>2119</v>
      </c>
      <c r="L15" s="178">
        <v>229</v>
      </c>
      <c r="M15" s="975">
        <v>0.68200000000000005</v>
      </c>
      <c r="N15" s="176">
        <v>2977</v>
      </c>
      <c r="O15" s="178">
        <v>817</v>
      </c>
      <c r="P15" s="975">
        <v>1.843</v>
      </c>
      <c r="Q15" s="176">
        <v>2255</v>
      </c>
      <c r="R15" s="178">
        <v>718</v>
      </c>
      <c r="S15" s="975">
        <v>10.224</v>
      </c>
      <c r="T15" s="1252">
        <v>14.24</v>
      </c>
      <c r="U15" s="178">
        <v>20</v>
      </c>
      <c r="V15" s="975">
        <v>7.0000000000000001E-3</v>
      </c>
      <c r="W15" s="176">
        <v>360</v>
      </c>
      <c r="X15" s="91">
        <v>10</v>
      </c>
      <c r="Y15" s="789" t="s">
        <v>560</v>
      </c>
      <c r="Z15" s="178">
        <v>12</v>
      </c>
      <c r="AA15" s="975">
        <v>4.0000000000000001E-3</v>
      </c>
      <c r="AB15" s="176">
        <v>356</v>
      </c>
      <c r="AC15" s="178">
        <v>70</v>
      </c>
      <c r="AD15" s="975">
        <v>4.2999999999999997E-2</v>
      </c>
      <c r="AE15" s="176">
        <v>618</v>
      </c>
      <c r="AF15" s="178" t="s">
        <v>570</v>
      </c>
      <c r="AG15" s="975" t="s">
        <v>570</v>
      </c>
      <c r="AH15" s="176" t="s">
        <v>570</v>
      </c>
      <c r="AI15" s="178">
        <v>671</v>
      </c>
      <c r="AJ15" s="975">
        <v>0.38200000000000001</v>
      </c>
      <c r="AK15" s="176">
        <v>569</v>
      </c>
      <c r="AL15" s="178" t="s">
        <v>570</v>
      </c>
      <c r="AM15" s="975" t="s">
        <v>570</v>
      </c>
      <c r="AN15" s="176" t="s">
        <v>570</v>
      </c>
      <c r="AO15" s="178">
        <v>1151</v>
      </c>
      <c r="AP15" s="975">
        <v>26.13</v>
      </c>
      <c r="AQ15" s="176">
        <v>22702</v>
      </c>
      <c r="AR15" s="178" t="s">
        <v>570</v>
      </c>
      <c r="AS15" s="975" t="s">
        <v>570</v>
      </c>
      <c r="AT15" s="176" t="s">
        <v>570</v>
      </c>
    </row>
    <row r="16" spans="1:47" ht="30" customHeight="1">
      <c r="A16" s="91">
        <v>11</v>
      </c>
      <c r="B16" s="361" t="s">
        <v>566</v>
      </c>
      <c r="C16" s="178">
        <v>377</v>
      </c>
      <c r="D16" s="975">
        <v>0.72399999999999998</v>
      </c>
      <c r="E16" s="176">
        <v>1920</v>
      </c>
      <c r="F16" s="178">
        <v>34551</v>
      </c>
      <c r="G16" s="975">
        <v>80.463999999999999</v>
      </c>
      <c r="H16" s="176">
        <v>2329</v>
      </c>
      <c r="I16" s="178">
        <v>175</v>
      </c>
      <c r="J16" s="975">
        <v>0.32900000000000001</v>
      </c>
      <c r="K16" s="176">
        <v>1883</v>
      </c>
      <c r="L16" s="178">
        <v>106</v>
      </c>
      <c r="M16" s="975">
        <v>0.26500000000000001</v>
      </c>
      <c r="N16" s="176">
        <v>2502</v>
      </c>
      <c r="O16" s="178">
        <v>471</v>
      </c>
      <c r="P16" s="975">
        <v>4.665</v>
      </c>
      <c r="Q16" s="176">
        <v>9905</v>
      </c>
      <c r="R16" s="178">
        <v>199</v>
      </c>
      <c r="S16" s="975">
        <v>3.0329999999999999</v>
      </c>
      <c r="T16" s="1252">
        <v>15.24</v>
      </c>
      <c r="U16" s="178" t="s">
        <v>570</v>
      </c>
      <c r="V16" s="975" t="s">
        <v>570</v>
      </c>
      <c r="W16" s="176" t="s">
        <v>570</v>
      </c>
      <c r="X16" s="91">
        <v>11</v>
      </c>
      <c r="Y16" s="514" t="s">
        <v>566</v>
      </c>
      <c r="Z16" s="178">
        <v>40</v>
      </c>
      <c r="AA16" s="975">
        <v>1.2999999999999999E-2</v>
      </c>
      <c r="AB16" s="176">
        <v>329</v>
      </c>
      <c r="AC16" s="178" t="s">
        <v>570</v>
      </c>
      <c r="AD16" s="975" t="s">
        <v>570</v>
      </c>
      <c r="AE16" s="176" t="s">
        <v>570</v>
      </c>
      <c r="AF16" s="178" t="s">
        <v>570</v>
      </c>
      <c r="AG16" s="975" t="s">
        <v>570</v>
      </c>
      <c r="AH16" s="176" t="s">
        <v>570</v>
      </c>
      <c r="AI16" s="178">
        <v>107</v>
      </c>
      <c r="AJ16" s="975">
        <v>7.4999999999999997E-2</v>
      </c>
      <c r="AK16" s="176">
        <v>701</v>
      </c>
      <c r="AL16" s="178" t="s">
        <v>570</v>
      </c>
      <c r="AM16" s="975" t="s">
        <v>570</v>
      </c>
      <c r="AN16" s="176" t="s">
        <v>570</v>
      </c>
      <c r="AO16" s="178">
        <v>185</v>
      </c>
      <c r="AP16" s="975">
        <v>3.7570000000000001</v>
      </c>
      <c r="AQ16" s="176">
        <v>20310</v>
      </c>
      <c r="AR16" s="178" t="s">
        <v>570</v>
      </c>
      <c r="AS16" s="975" t="s">
        <v>570</v>
      </c>
      <c r="AT16" s="176" t="s">
        <v>570</v>
      </c>
    </row>
    <row r="17" spans="1:46" ht="30" customHeight="1">
      <c r="A17" s="91">
        <v>12</v>
      </c>
      <c r="B17" s="361" t="s">
        <v>567</v>
      </c>
      <c r="C17" s="178">
        <v>2850</v>
      </c>
      <c r="D17" s="975">
        <v>4.9740000000000002</v>
      </c>
      <c r="E17" s="176">
        <v>1745</v>
      </c>
      <c r="F17" s="178">
        <v>1297</v>
      </c>
      <c r="G17" s="975">
        <v>2.5059999999999998</v>
      </c>
      <c r="H17" s="176">
        <v>1932</v>
      </c>
      <c r="I17" s="178">
        <v>482</v>
      </c>
      <c r="J17" s="975">
        <v>1.2949999999999999</v>
      </c>
      <c r="K17" s="176">
        <v>2686</v>
      </c>
      <c r="L17" s="178">
        <v>1945</v>
      </c>
      <c r="M17" s="975">
        <v>3.4860000000000002</v>
      </c>
      <c r="N17" s="176">
        <v>1792</v>
      </c>
      <c r="O17" s="178">
        <v>189</v>
      </c>
      <c r="P17" s="975">
        <v>0.61</v>
      </c>
      <c r="Q17" s="176">
        <v>3226</v>
      </c>
      <c r="R17" s="179">
        <v>1590</v>
      </c>
      <c r="S17" s="1261">
        <v>15.391</v>
      </c>
      <c r="T17" s="1252">
        <v>9.68</v>
      </c>
      <c r="U17" s="178">
        <v>15</v>
      </c>
      <c r="V17" s="975">
        <v>3.0000000000000001E-3</v>
      </c>
      <c r="W17" s="176">
        <v>183</v>
      </c>
      <c r="X17" s="91">
        <v>12</v>
      </c>
      <c r="Y17" s="514" t="s">
        <v>567</v>
      </c>
      <c r="Z17" s="178">
        <v>20</v>
      </c>
      <c r="AA17" s="975">
        <v>5.0000000000000001E-3</v>
      </c>
      <c r="AB17" s="176">
        <v>239</v>
      </c>
      <c r="AC17" s="178">
        <v>30</v>
      </c>
      <c r="AD17" s="975">
        <v>2.4E-2</v>
      </c>
      <c r="AE17" s="176">
        <v>800</v>
      </c>
      <c r="AF17" s="178" t="s">
        <v>570</v>
      </c>
      <c r="AG17" s="975" t="s">
        <v>570</v>
      </c>
      <c r="AH17" s="176" t="s">
        <v>570</v>
      </c>
      <c r="AI17" s="178">
        <v>995</v>
      </c>
      <c r="AJ17" s="975">
        <v>0.72399999999999998</v>
      </c>
      <c r="AK17" s="176">
        <v>728</v>
      </c>
      <c r="AL17" s="178">
        <v>5</v>
      </c>
      <c r="AM17" s="975">
        <v>4.0000000000000001E-3</v>
      </c>
      <c r="AN17" s="176">
        <v>759</v>
      </c>
      <c r="AO17" s="178">
        <v>4965</v>
      </c>
      <c r="AP17" s="975">
        <v>127.42700000000001</v>
      </c>
      <c r="AQ17" s="176">
        <v>25665</v>
      </c>
      <c r="AR17" s="178" t="s">
        <v>570</v>
      </c>
      <c r="AS17" s="975" t="s">
        <v>570</v>
      </c>
      <c r="AT17" s="176" t="s">
        <v>570</v>
      </c>
    </row>
    <row r="18" spans="1:46" ht="30" customHeight="1">
      <c r="A18" s="275">
        <v>13</v>
      </c>
      <c r="B18" s="774" t="s">
        <v>569</v>
      </c>
      <c r="C18" s="681">
        <v>3938</v>
      </c>
      <c r="D18" s="977">
        <v>6.4050000000000002</v>
      </c>
      <c r="E18" s="963">
        <v>1626.52</v>
      </c>
      <c r="F18" s="681">
        <v>2151</v>
      </c>
      <c r="G18" s="977">
        <v>4.1920000000000002</v>
      </c>
      <c r="H18" s="963">
        <v>1949</v>
      </c>
      <c r="I18" s="681">
        <v>982</v>
      </c>
      <c r="J18" s="977">
        <v>1.986</v>
      </c>
      <c r="K18" s="963">
        <v>2022</v>
      </c>
      <c r="L18" s="681">
        <v>2035</v>
      </c>
      <c r="M18" s="1257">
        <v>5.4139999999999997</v>
      </c>
      <c r="N18" s="963">
        <v>2660</v>
      </c>
      <c r="O18" s="681">
        <v>300</v>
      </c>
      <c r="P18" s="977">
        <v>2.3380000000000001</v>
      </c>
      <c r="Q18" s="963">
        <v>7795</v>
      </c>
      <c r="R18" s="1263">
        <v>2788</v>
      </c>
      <c r="S18" s="1262">
        <v>37.74</v>
      </c>
      <c r="T18" s="1253">
        <v>12.46</v>
      </c>
      <c r="U18" s="681">
        <v>365</v>
      </c>
      <c r="V18" s="977">
        <v>0.19400000000000001</v>
      </c>
      <c r="W18" s="963">
        <v>533</v>
      </c>
      <c r="X18" s="275">
        <v>13</v>
      </c>
      <c r="Y18" s="962" t="s">
        <v>569</v>
      </c>
      <c r="Z18" s="681">
        <v>101</v>
      </c>
      <c r="AA18" s="977">
        <v>2.4E-2</v>
      </c>
      <c r="AB18" s="963">
        <v>237</v>
      </c>
      <c r="AC18" s="681">
        <v>10</v>
      </c>
      <c r="AD18" s="977">
        <v>8.9999999999999993E-3</v>
      </c>
      <c r="AE18" s="963">
        <v>949</v>
      </c>
      <c r="AF18" s="681" t="s">
        <v>570</v>
      </c>
      <c r="AG18" s="977" t="s">
        <v>570</v>
      </c>
      <c r="AH18" s="963" t="s">
        <v>570</v>
      </c>
      <c r="AI18" s="681">
        <v>2583</v>
      </c>
      <c r="AJ18" s="977">
        <v>1.9710000000000001</v>
      </c>
      <c r="AK18" s="963">
        <v>763</v>
      </c>
      <c r="AL18" s="681">
        <v>24</v>
      </c>
      <c r="AM18" s="977">
        <v>1.7999999999999999E-2</v>
      </c>
      <c r="AN18" s="963">
        <v>759</v>
      </c>
      <c r="AO18" s="681">
        <v>1409</v>
      </c>
      <c r="AP18" s="977">
        <v>32.561999999999998</v>
      </c>
      <c r="AQ18" s="963">
        <v>23110</v>
      </c>
      <c r="AR18" s="681" t="s">
        <v>570</v>
      </c>
      <c r="AS18" s="977" t="s">
        <v>570</v>
      </c>
      <c r="AT18" s="963" t="s">
        <v>570</v>
      </c>
    </row>
    <row r="19" spans="1:46">
      <c r="U19" s="55"/>
      <c r="V19" s="55"/>
      <c r="W19" s="875" t="s">
        <v>1011</v>
      </c>
      <c r="X19" s="878" t="s">
        <v>188</v>
      </c>
      <c r="Y19" s="877"/>
      <c r="Z19" s="878"/>
      <c r="AA19" s="877"/>
      <c r="AB19" s="877"/>
      <c r="AC19" s="877"/>
      <c r="AD19" s="878" t="s">
        <v>1405</v>
      </c>
      <c r="AE19" s="500"/>
      <c r="AF19" s="878"/>
      <c r="AG19" s="877"/>
      <c r="AH19" s="877"/>
      <c r="AI19" s="877"/>
      <c r="AJ19" s="877"/>
      <c r="AK19" s="877"/>
      <c r="AL19" s="877"/>
      <c r="AM19" s="877"/>
      <c r="AN19" s="364"/>
      <c r="AO19" s="875" t="s">
        <v>80</v>
      </c>
      <c r="AP19" s="978" t="s">
        <v>874</v>
      </c>
      <c r="AR19" s="877"/>
      <c r="AS19" s="877"/>
      <c r="AT19" s="877"/>
    </row>
    <row r="20" spans="1:46">
      <c r="W20" s="877"/>
      <c r="X20" s="878" t="s">
        <v>316</v>
      </c>
      <c r="Y20" s="877"/>
      <c r="Z20" s="877"/>
      <c r="AA20" s="877"/>
      <c r="AB20" s="877"/>
      <c r="AC20" s="878" t="s">
        <v>187</v>
      </c>
      <c r="AD20" s="878"/>
      <c r="AE20" s="877"/>
      <c r="AF20" s="877"/>
      <c r="AG20" s="877"/>
      <c r="AH20" s="877"/>
      <c r="AI20" s="877"/>
      <c r="AJ20" s="877"/>
      <c r="AK20" s="877"/>
      <c r="AL20" s="877"/>
      <c r="AM20" s="877"/>
      <c r="AN20" s="364"/>
      <c r="AO20" s="875" t="s">
        <v>81</v>
      </c>
      <c r="AP20" s="876" t="s">
        <v>1113</v>
      </c>
      <c r="AR20" s="877"/>
      <c r="AS20" s="877"/>
      <c r="AT20" s="877"/>
    </row>
    <row r="21" spans="1:46">
      <c r="A21" s="55"/>
      <c r="C21" s="728"/>
      <c r="D21" s="728"/>
      <c r="E21" s="728"/>
      <c r="F21" s="728"/>
      <c r="G21" s="728"/>
      <c r="H21" s="728"/>
      <c r="I21" s="728"/>
      <c r="J21" s="728"/>
      <c r="K21" s="728"/>
      <c r="L21" s="728"/>
      <c r="M21" s="728"/>
      <c r="N21" s="728"/>
      <c r="O21" s="728"/>
      <c r="P21" s="728"/>
      <c r="Q21" s="728"/>
      <c r="R21" s="728"/>
      <c r="S21" s="728"/>
      <c r="T21" s="728"/>
      <c r="U21" s="728"/>
      <c r="V21" s="728"/>
      <c r="W21" s="979"/>
      <c r="X21" s="878" t="s">
        <v>315</v>
      </c>
      <c r="Y21" s="979"/>
      <c r="Z21" s="979"/>
      <c r="AA21" s="979"/>
      <c r="AB21" s="979"/>
      <c r="AC21" s="979"/>
      <c r="AD21" s="979"/>
      <c r="AE21" s="979"/>
      <c r="AF21" s="877"/>
      <c r="AG21" s="877"/>
      <c r="AH21" s="877"/>
      <c r="AI21" s="979"/>
      <c r="AJ21" s="979"/>
      <c r="AK21" s="979"/>
      <c r="AL21" s="979"/>
      <c r="AM21" s="979"/>
      <c r="AN21" s="979"/>
      <c r="AO21" s="979"/>
      <c r="AP21" s="979"/>
      <c r="AQ21" s="979"/>
      <c r="AR21" s="979"/>
      <c r="AS21" s="979"/>
      <c r="AT21" s="979"/>
    </row>
    <row r="22" spans="1:46">
      <c r="D22" s="55"/>
      <c r="E22" s="55"/>
      <c r="F22" s="55"/>
      <c r="G22" s="55"/>
      <c r="H22" s="62"/>
      <c r="U22" s="6"/>
      <c r="V22" s="6"/>
      <c r="W22" s="6"/>
      <c r="AD22" s="55"/>
      <c r="AE22" s="55"/>
      <c r="AI22" s="55"/>
      <c r="AJ22" s="62"/>
      <c r="AL22" s="55"/>
      <c r="AM22" s="55"/>
      <c r="AN22" s="55"/>
      <c r="AO22" s="6"/>
      <c r="AP22" s="6"/>
      <c r="AQ22" s="6"/>
    </row>
    <row r="24" spans="1:46">
      <c r="AI24" s="62"/>
      <c r="AN24" s="62"/>
    </row>
    <row r="25" spans="1:46">
      <c r="AI25" s="62"/>
      <c r="AN25" s="62"/>
    </row>
  </sheetData>
  <mergeCells count="21">
    <mergeCell ref="AC3:AE3"/>
    <mergeCell ref="O3:Q3"/>
    <mergeCell ref="U3:W3"/>
    <mergeCell ref="B3:B4"/>
    <mergeCell ref="L3:N3"/>
    <mergeCell ref="A1:W1"/>
    <mergeCell ref="A2:W2"/>
    <mergeCell ref="X2:AT2"/>
    <mergeCell ref="R3:T3"/>
    <mergeCell ref="X3:X4"/>
    <mergeCell ref="I3:K3"/>
    <mergeCell ref="A3:A4"/>
    <mergeCell ref="C3:E3"/>
    <mergeCell ref="Z3:AB3"/>
    <mergeCell ref="F3:H3"/>
    <mergeCell ref="AR3:AT3"/>
    <mergeCell ref="Y3:Y4"/>
    <mergeCell ref="AO3:AQ3"/>
    <mergeCell ref="AL3:AN3"/>
    <mergeCell ref="AI3:AK3"/>
    <mergeCell ref="AF3:AH3"/>
  </mergeCells>
  <phoneticPr fontId="0" type="noConversion"/>
  <printOptions horizontalCentered="1" verticalCentered="1"/>
  <pageMargins left="0.1" right="0.1" top="0.1" bottom="0.1" header="0.5" footer="0.1"/>
  <pageSetup paperSize="9" orientation="landscape" blackAndWhite="1" r:id="rId1"/>
  <headerFooter alignWithMargins="0"/>
  <colBreaks count="1" manualBreakCount="1">
    <brk id="23" max="1048575" man="1"/>
  </colBreaks>
</worksheet>
</file>

<file path=xl/worksheets/sheet77.xml><?xml version="1.0" encoding="utf-8"?>
<worksheet xmlns="http://schemas.openxmlformats.org/spreadsheetml/2006/main" xmlns:r="http://schemas.openxmlformats.org/officeDocument/2006/relationships">
  <sheetPr codeName="Sheet83"/>
  <dimension ref="A1:Q49"/>
  <sheetViews>
    <sheetView workbookViewId="0">
      <selection activeCell="J15" sqref="J15"/>
    </sheetView>
  </sheetViews>
  <sheetFormatPr defaultRowHeight="15.75" customHeight="1"/>
  <cols>
    <col min="1" max="1" width="4" style="6" customWidth="1"/>
    <col min="2" max="2" width="15.42578125" style="6" customWidth="1"/>
    <col min="3" max="3" width="7.7109375" style="6" customWidth="1"/>
    <col min="4" max="4" width="5.7109375" style="6" customWidth="1"/>
    <col min="5" max="5" width="7.7109375" style="6" customWidth="1"/>
    <col min="6" max="6" width="5.7109375" style="6" customWidth="1"/>
    <col min="7" max="7" width="7.7109375" style="6" customWidth="1"/>
    <col min="8" max="8" width="5.7109375" style="6" customWidth="1"/>
    <col min="9" max="9" width="7.7109375" style="6" customWidth="1"/>
    <col min="10" max="10" width="5.7109375" style="6" customWidth="1"/>
    <col min="11" max="11" width="7.7109375" style="6" customWidth="1"/>
    <col min="12" max="12" width="5.7109375" style="6" customWidth="1"/>
    <col min="13" max="13" width="7.7109375" style="6" customWidth="1"/>
    <col min="14" max="14" width="5.7109375" style="6" customWidth="1"/>
    <col min="15" max="15" width="7.7109375" style="6" customWidth="1"/>
    <col min="16" max="16" width="5.7109375" style="6" customWidth="1"/>
    <col min="17" max="17" width="8.85546875" style="6" customWidth="1"/>
    <col min="18" max="16384" width="9.140625" style="6"/>
  </cols>
  <sheetData>
    <row r="1" spans="1:17" ht="12.75" customHeight="1">
      <c r="A1" s="1286" t="s">
        <v>496</v>
      </c>
      <c r="B1" s="1286"/>
      <c r="C1" s="1286"/>
      <c r="D1" s="1286"/>
      <c r="E1" s="1286"/>
      <c r="F1" s="1286"/>
      <c r="G1" s="1286"/>
      <c r="H1" s="1286"/>
      <c r="I1" s="1286"/>
      <c r="J1" s="1286"/>
      <c r="K1" s="1286"/>
      <c r="L1" s="1286"/>
      <c r="M1" s="1286"/>
      <c r="N1" s="1286"/>
      <c r="O1" s="1286"/>
      <c r="P1" s="1286"/>
      <c r="Q1" s="1286"/>
    </row>
    <row r="2" spans="1:17" ht="16.5" customHeight="1">
      <c r="A2" s="1311" t="str">
        <f>CONCATENATE("Source of Irrigation and Area Irrigated by different sources in the Blocks of ",District!$A$1," for the year " &amp; District!C2)</f>
        <v>Source of Irrigation and Area Irrigated by different sources in the Blocks of Jalpaiguri for the year 2013-14</v>
      </c>
      <c r="B2" s="1311"/>
      <c r="C2" s="1311"/>
      <c r="D2" s="1311"/>
      <c r="E2" s="1311"/>
      <c r="F2" s="1311"/>
      <c r="G2" s="1311"/>
      <c r="H2" s="1311"/>
      <c r="I2" s="1311"/>
      <c r="J2" s="1311"/>
      <c r="K2" s="1311"/>
      <c r="L2" s="1311"/>
      <c r="M2" s="1311"/>
      <c r="N2" s="1311"/>
      <c r="O2" s="1311"/>
      <c r="P2" s="1311"/>
      <c r="Q2" s="1311"/>
    </row>
    <row r="3" spans="1:17" ht="12" customHeight="1">
      <c r="A3" s="421"/>
      <c r="B3" s="526"/>
      <c r="C3" s="526"/>
      <c r="D3" s="526"/>
      <c r="E3" s="526"/>
      <c r="F3" s="526"/>
      <c r="G3" s="526"/>
      <c r="H3" s="526"/>
      <c r="I3" s="526"/>
      <c r="J3" s="526"/>
      <c r="K3" s="526"/>
      <c r="L3" s="526"/>
      <c r="M3" s="526"/>
      <c r="N3" s="526"/>
      <c r="O3" s="526"/>
      <c r="P3" s="432"/>
      <c r="Q3" s="407" t="s">
        <v>925</v>
      </c>
    </row>
    <row r="4" spans="1:17" ht="18" customHeight="1">
      <c r="A4" s="1299" t="s">
        <v>1499</v>
      </c>
      <c r="B4" s="1299" t="s">
        <v>38</v>
      </c>
      <c r="C4" s="763" t="s">
        <v>1478</v>
      </c>
      <c r="D4" s="1445" t="s">
        <v>1061</v>
      </c>
      <c r="E4" s="1446"/>
      <c r="F4" s="1444" t="s">
        <v>1066</v>
      </c>
      <c r="G4" s="1444"/>
      <c r="H4" s="1445" t="s">
        <v>503</v>
      </c>
      <c r="I4" s="1446"/>
      <c r="J4" s="1445" t="s">
        <v>1065</v>
      </c>
      <c r="K4" s="1446"/>
      <c r="L4" s="1445" t="s">
        <v>1067</v>
      </c>
      <c r="M4" s="1446"/>
      <c r="N4" s="1444" t="s">
        <v>545</v>
      </c>
      <c r="O4" s="1444"/>
      <c r="P4" s="1445" t="s">
        <v>300</v>
      </c>
      <c r="Q4" s="1446"/>
    </row>
    <row r="5" spans="1:17" ht="18" customHeight="1">
      <c r="A5" s="1302"/>
      <c r="B5" s="1301"/>
      <c r="C5" s="246" t="s">
        <v>1479</v>
      </c>
      <c r="D5" s="325" t="s">
        <v>317</v>
      </c>
      <c r="E5" s="172" t="s">
        <v>1479</v>
      </c>
      <c r="F5" s="325" t="s">
        <v>317</v>
      </c>
      <c r="G5" s="246" t="s">
        <v>1479</v>
      </c>
      <c r="H5" s="325" t="s">
        <v>317</v>
      </c>
      <c r="I5" s="172" t="s">
        <v>1479</v>
      </c>
      <c r="J5" s="325" t="s">
        <v>317</v>
      </c>
      <c r="K5" s="172" t="s">
        <v>1479</v>
      </c>
      <c r="L5" s="325" t="s">
        <v>317</v>
      </c>
      <c r="M5" s="172" t="s">
        <v>1479</v>
      </c>
      <c r="N5" s="325" t="s">
        <v>317</v>
      </c>
      <c r="O5" s="246" t="s">
        <v>1479</v>
      </c>
      <c r="P5" s="325" t="s">
        <v>317</v>
      </c>
      <c r="Q5" s="172" t="s">
        <v>1479</v>
      </c>
    </row>
    <row r="6" spans="1:17" ht="18" customHeight="1">
      <c r="A6" s="126" t="s">
        <v>278</v>
      </c>
      <c r="B6" s="57" t="s">
        <v>279</v>
      </c>
      <c r="C6" s="93" t="s">
        <v>280</v>
      </c>
      <c r="D6" s="59" t="s">
        <v>281</v>
      </c>
      <c r="E6" s="60" t="s">
        <v>282</v>
      </c>
      <c r="F6" s="59" t="s">
        <v>283</v>
      </c>
      <c r="G6" s="93" t="s">
        <v>284</v>
      </c>
      <c r="H6" s="59" t="s">
        <v>301</v>
      </c>
      <c r="I6" s="60" t="s">
        <v>302</v>
      </c>
      <c r="J6" s="59" t="s">
        <v>303</v>
      </c>
      <c r="K6" s="60" t="s">
        <v>304</v>
      </c>
      <c r="L6" s="59" t="s">
        <v>344</v>
      </c>
      <c r="M6" s="60" t="s">
        <v>345</v>
      </c>
      <c r="N6" s="59" t="s">
        <v>346</v>
      </c>
      <c r="O6" s="93" t="s">
        <v>347</v>
      </c>
      <c r="P6" s="59" t="s">
        <v>348</v>
      </c>
      <c r="Q6" s="753" t="s">
        <v>349</v>
      </c>
    </row>
    <row r="7" spans="1:17" ht="24.95" customHeight="1">
      <c r="A7" s="320">
        <v>1</v>
      </c>
      <c r="B7" s="321" t="s">
        <v>561</v>
      </c>
      <c r="C7" s="181">
        <v>22748</v>
      </c>
      <c r="D7" s="49">
        <v>1</v>
      </c>
      <c r="E7" s="48">
        <v>130</v>
      </c>
      <c r="F7" s="49">
        <v>7</v>
      </c>
      <c r="G7" s="181">
        <v>420</v>
      </c>
      <c r="H7" s="49">
        <v>4</v>
      </c>
      <c r="I7" s="48">
        <v>150</v>
      </c>
      <c r="J7" s="1126">
        <v>117</v>
      </c>
      <c r="K7" s="48">
        <v>585</v>
      </c>
      <c r="L7" s="49" t="s">
        <v>570</v>
      </c>
      <c r="M7" s="49" t="s">
        <v>570</v>
      </c>
      <c r="N7" s="49" t="s">
        <v>570</v>
      </c>
      <c r="O7" s="1219" t="s">
        <v>570</v>
      </c>
      <c r="P7" s="529">
        <f>SUM(D7,F7,H7,L7,J7,N7)</f>
        <v>129</v>
      </c>
      <c r="Q7" s="1005">
        <f>SUM(C7,E7,G7,I7,K7,M7,O7)</f>
        <v>24033</v>
      </c>
    </row>
    <row r="8" spans="1:17" ht="24.95" customHeight="1">
      <c r="A8" s="91">
        <v>2</v>
      </c>
      <c r="B8" s="321" t="s">
        <v>1149</v>
      </c>
      <c r="C8" s="181">
        <v>12975</v>
      </c>
      <c r="D8" s="52">
        <v>2</v>
      </c>
      <c r="E8" s="48">
        <v>278</v>
      </c>
      <c r="F8" s="52">
        <v>29</v>
      </c>
      <c r="G8" s="181">
        <v>1060</v>
      </c>
      <c r="H8" s="52">
        <v>13</v>
      </c>
      <c r="I8" s="48">
        <v>500</v>
      </c>
      <c r="J8" s="1127">
        <v>1090</v>
      </c>
      <c r="K8" s="48">
        <v>5450</v>
      </c>
      <c r="L8" s="52" t="s">
        <v>570</v>
      </c>
      <c r="M8" s="52" t="s">
        <v>570</v>
      </c>
      <c r="N8" s="52" t="s">
        <v>570</v>
      </c>
      <c r="O8" s="1219" t="s">
        <v>570</v>
      </c>
      <c r="P8" s="227">
        <f t="shared" ref="P8:P19" si="0">SUM(D8,F8,H8,L8,J8,N8)</f>
        <v>1134</v>
      </c>
      <c r="Q8" s="176">
        <f t="shared" ref="Q8:Q18" si="1">SUM(C8,E8,G8,I8,K8,M8,O8)</f>
        <v>20263</v>
      </c>
    </row>
    <row r="9" spans="1:17" ht="24.95" customHeight="1">
      <c r="A9" s="91">
        <v>3</v>
      </c>
      <c r="B9" s="321" t="s">
        <v>549</v>
      </c>
      <c r="C9" s="181">
        <v>1713</v>
      </c>
      <c r="D9" s="52">
        <v>3</v>
      </c>
      <c r="E9" s="48">
        <v>360</v>
      </c>
      <c r="F9" s="52">
        <v>80</v>
      </c>
      <c r="G9" s="181">
        <v>2220</v>
      </c>
      <c r="H9" s="52">
        <v>11</v>
      </c>
      <c r="I9" s="48">
        <v>420</v>
      </c>
      <c r="J9" s="1127">
        <v>855</v>
      </c>
      <c r="K9" s="48">
        <v>4275</v>
      </c>
      <c r="L9" s="52" t="s">
        <v>570</v>
      </c>
      <c r="M9" s="52" t="s">
        <v>570</v>
      </c>
      <c r="N9" s="52" t="s">
        <v>570</v>
      </c>
      <c r="O9" s="1219" t="s">
        <v>570</v>
      </c>
      <c r="P9" s="227">
        <f t="shared" si="0"/>
        <v>949</v>
      </c>
      <c r="Q9" s="176">
        <f t="shared" si="1"/>
        <v>8988</v>
      </c>
    </row>
    <row r="10" spans="1:17" ht="24.95" customHeight="1">
      <c r="A10" s="91">
        <v>4</v>
      </c>
      <c r="B10" s="321" t="s">
        <v>732</v>
      </c>
      <c r="C10" s="181">
        <v>4036</v>
      </c>
      <c r="D10" s="52">
        <v>2</v>
      </c>
      <c r="E10" s="48">
        <v>320</v>
      </c>
      <c r="F10" s="52">
        <v>79</v>
      </c>
      <c r="G10" s="181">
        <v>2010</v>
      </c>
      <c r="H10" s="52">
        <v>12</v>
      </c>
      <c r="I10" s="48">
        <v>430</v>
      </c>
      <c r="J10" s="1127">
        <v>1423</v>
      </c>
      <c r="K10" s="48">
        <v>6925</v>
      </c>
      <c r="L10" s="52" t="s">
        <v>570</v>
      </c>
      <c r="M10" s="52" t="s">
        <v>570</v>
      </c>
      <c r="N10" s="52" t="s">
        <v>570</v>
      </c>
      <c r="O10" s="1219" t="s">
        <v>570</v>
      </c>
      <c r="P10" s="227">
        <f t="shared" si="0"/>
        <v>1516</v>
      </c>
      <c r="Q10" s="176">
        <f t="shared" si="1"/>
        <v>13721</v>
      </c>
    </row>
    <row r="11" spans="1:17" ht="24.95" customHeight="1">
      <c r="A11" s="91">
        <v>5</v>
      </c>
      <c r="B11" s="321" t="s">
        <v>552</v>
      </c>
      <c r="C11" s="181">
        <v>4368</v>
      </c>
      <c r="D11" s="52">
        <v>1</v>
      </c>
      <c r="E11" s="48">
        <v>116</v>
      </c>
      <c r="F11" s="52">
        <v>58</v>
      </c>
      <c r="G11" s="181">
        <v>1440</v>
      </c>
      <c r="H11" s="52">
        <v>2</v>
      </c>
      <c r="I11" s="48">
        <v>80</v>
      </c>
      <c r="J11" s="1127">
        <v>678</v>
      </c>
      <c r="K11" s="48">
        <v>3390</v>
      </c>
      <c r="L11" s="52" t="s">
        <v>570</v>
      </c>
      <c r="M11" s="52" t="s">
        <v>570</v>
      </c>
      <c r="N11" s="52" t="s">
        <v>570</v>
      </c>
      <c r="O11" s="1219" t="s">
        <v>570</v>
      </c>
      <c r="P11" s="227">
        <f t="shared" si="0"/>
        <v>739</v>
      </c>
      <c r="Q11" s="176">
        <f t="shared" si="1"/>
        <v>9394</v>
      </c>
    </row>
    <row r="12" spans="1:17" ht="24.95" customHeight="1">
      <c r="A12" s="91">
        <v>6</v>
      </c>
      <c r="B12" s="321" t="s">
        <v>553</v>
      </c>
      <c r="C12" s="181">
        <v>1543</v>
      </c>
      <c r="D12" s="52">
        <v>1</v>
      </c>
      <c r="E12" s="48">
        <v>25</v>
      </c>
      <c r="F12" s="52">
        <v>28</v>
      </c>
      <c r="G12" s="48">
        <v>560</v>
      </c>
      <c r="H12" s="294" t="s">
        <v>570</v>
      </c>
      <c r="I12" s="1218" t="s">
        <v>570</v>
      </c>
      <c r="J12" s="1217" t="s">
        <v>570</v>
      </c>
      <c r="K12" s="1218" t="s">
        <v>570</v>
      </c>
      <c r="L12" s="294" t="s">
        <v>570</v>
      </c>
      <c r="M12" s="294" t="s">
        <v>570</v>
      </c>
      <c r="N12" s="52" t="s">
        <v>570</v>
      </c>
      <c r="O12" s="1219" t="s">
        <v>570</v>
      </c>
      <c r="P12" s="227">
        <f t="shared" si="0"/>
        <v>29</v>
      </c>
      <c r="Q12" s="176">
        <f t="shared" si="1"/>
        <v>2128</v>
      </c>
    </row>
    <row r="13" spans="1:17" ht="24.95" customHeight="1">
      <c r="A13" s="91">
        <v>7</v>
      </c>
      <c r="B13" s="321" t="s">
        <v>13</v>
      </c>
      <c r="C13" s="181">
        <v>1595</v>
      </c>
      <c r="D13" s="52">
        <v>1</v>
      </c>
      <c r="E13" s="48">
        <v>21</v>
      </c>
      <c r="F13" s="52">
        <v>10</v>
      </c>
      <c r="G13" s="48">
        <v>200</v>
      </c>
      <c r="H13" s="294" t="s">
        <v>570</v>
      </c>
      <c r="I13" s="1218" t="s">
        <v>570</v>
      </c>
      <c r="J13" s="1127">
        <v>7</v>
      </c>
      <c r="K13" s="1027">
        <v>35</v>
      </c>
      <c r="L13" s="294" t="s">
        <v>570</v>
      </c>
      <c r="M13" s="294" t="s">
        <v>570</v>
      </c>
      <c r="N13" s="52" t="s">
        <v>570</v>
      </c>
      <c r="O13" s="1219" t="s">
        <v>570</v>
      </c>
      <c r="P13" s="227">
        <f t="shared" si="0"/>
        <v>18</v>
      </c>
      <c r="Q13" s="176">
        <f t="shared" si="1"/>
        <v>1851</v>
      </c>
    </row>
    <row r="14" spans="1:17" ht="24.95" customHeight="1">
      <c r="A14" s="91">
        <v>8</v>
      </c>
      <c r="B14" s="321" t="s">
        <v>555</v>
      </c>
      <c r="C14" s="31">
        <v>1655</v>
      </c>
      <c r="D14" s="52">
        <v>1</v>
      </c>
      <c r="E14" s="48">
        <v>125</v>
      </c>
      <c r="F14" s="52">
        <v>28</v>
      </c>
      <c r="G14" s="31">
        <v>625</v>
      </c>
      <c r="H14" s="52">
        <v>1</v>
      </c>
      <c r="I14" s="48">
        <v>40</v>
      </c>
      <c r="J14" s="1127">
        <v>139</v>
      </c>
      <c r="K14" s="48">
        <v>695</v>
      </c>
      <c r="L14" s="52">
        <v>114</v>
      </c>
      <c r="M14" s="582">
        <v>395</v>
      </c>
      <c r="N14" s="52" t="s">
        <v>570</v>
      </c>
      <c r="O14" s="1219" t="s">
        <v>570</v>
      </c>
      <c r="P14" s="227">
        <f t="shared" si="0"/>
        <v>283</v>
      </c>
      <c r="Q14" s="176">
        <f t="shared" si="1"/>
        <v>3535</v>
      </c>
    </row>
    <row r="15" spans="1:17" ht="24.95" customHeight="1">
      <c r="A15" s="91">
        <v>9</v>
      </c>
      <c r="B15" s="321" t="s">
        <v>557</v>
      </c>
      <c r="C15" s="181">
        <v>3216</v>
      </c>
      <c r="D15" s="52">
        <v>1</v>
      </c>
      <c r="E15" s="48">
        <v>250</v>
      </c>
      <c r="F15" s="52">
        <v>45</v>
      </c>
      <c r="G15" s="48">
        <v>1140</v>
      </c>
      <c r="H15" s="52">
        <v>4</v>
      </c>
      <c r="I15" s="48">
        <v>160</v>
      </c>
      <c r="J15" s="1127">
        <v>540</v>
      </c>
      <c r="K15" s="48">
        <v>2630</v>
      </c>
      <c r="L15" s="52" t="s">
        <v>570</v>
      </c>
      <c r="M15" s="582" t="s">
        <v>570</v>
      </c>
      <c r="N15" s="52" t="s">
        <v>570</v>
      </c>
      <c r="O15" s="1219" t="s">
        <v>570</v>
      </c>
      <c r="P15" s="227">
        <f t="shared" si="0"/>
        <v>590</v>
      </c>
      <c r="Q15" s="176">
        <f t="shared" si="1"/>
        <v>7396</v>
      </c>
    </row>
    <row r="16" spans="1:17" ht="24.95" customHeight="1">
      <c r="A16" s="91">
        <v>10</v>
      </c>
      <c r="B16" s="321" t="s">
        <v>560</v>
      </c>
      <c r="C16" s="181">
        <v>2158</v>
      </c>
      <c r="D16" s="52">
        <v>1</v>
      </c>
      <c r="E16" s="48">
        <v>52</v>
      </c>
      <c r="F16" s="52">
        <v>34</v>
      </c>
      <c r="G16" s="48">
        <v>840</v>
      </c>
      <c r="H16" s="294" t="s">
        <v>570</v>
      </c>
      <c r="I16" s="1218" t="s">
        <v>570</v>
      </c>
      <c r="J16" s="1127">
        <v>131</v>
      </c>
      <c r="K16" s="48">
        <v>655</v>
      </c>
      <c r="L16" s="52">
        <v>18</v>
      </c>
      <c r="M16" s="582">
        <v>55</v>
      </c>
      <c r="N16" s="52" t="s">
        <v>570</v>
      </c>
      <c r="O16" s="1219" t="s">
        <v>570</v>
      </c>
      <c r="P16" s="227">
        <f t="shared" si="0"/>
        <v>184</v>
      </c>
      <c r="Q16" s="176">
        <f t="shared" si="1"/>
        <v>3760</v>
      </c>
    </row>
    <row r="17" spans="1:17" ht="24.95" customHeight="1">
      <c r="A17" s="91">
        <v>11</v>
      </c>
      <c r="B17" s="321" t="s">
        <v>566</v>
      </c>
      <c r="C17" s="181">
        <v>1242</v>
      </c>
      <c r="D17" s="52">
        <v>1</v>
      </c>
      <c r="E17" s="48">
        <v>50</v>
      </c>
      <c r="F17" s="52">
        <v>18</v>
      </c>
      <c r="G17" s="48">
        <v>450</v>
      </c>
      <c r="H17" s="294" t="s">
        <v>570</v>
      </c>
      <c r="I17" s="1218" t="s">
        <v>570</v>
      </c>
      <c r="J17" s="1127">
        <v>72</v>
      </c>
      <c r="K17" s="216">
        <v>360</v>
      </c>
      <c r="L17" s="227">
        <v>6</v>
      </c>
      <c r="M17" s="582">
        <v>21</v>
      </c>
      <c r="N17" s="52" t="s">
        <v>570</v>
      </c>
      <c r="O17" s="1219" t="s">
        <v>570</v>
      </c>
      <c r="P17" s="227">
        <f t="shared" si="0"/>
        <v>97</v>
      </c>
      <c r="Q17" s="176">
        <f t="shared" si="1"/>
        <v>2123</v>
      </c>
    </row>
    <row r="18" spans="1:17" ht="24.95" customHeight="1">
      <c r="A18" s="91">
        <v>12</v>
      </c>
      <c r="B18" s="321" t="s">
        <v>567</v>
      </c>
      <c r="C18" s="181">
        <v>2465</v>
      </c>
      <c r="D18" s="52">
        <v>2</v>
      </c>
      <c r="E18" s="48">
        <v>226</v>
      </c>
      <c r="F18" s="52">
        <v>37</v>
      </c>
      <c r="G18" s="181">
        <v>1000</v>
      </c>
      <c r="H18" s="52">
        <v>4</v>
      </c>
      <c r="I18" s="48">
        <v>150</v>
      </c>
      <c r="J18" s="1127">
        <v>351</v>
      </c>
      <c r="K18" s="48">
        <v>1675</v>
      </c>
      <c r="L18" s="52">
        <v>25</v>
      </c>
      <c r="M18" s="582">
        <v>89</v>
      </c>
      <c r="N18" s="52" t="s">
        <v>570</v>
      </c>
      <c r="O18" s="1219" t="s">
        <v>570</v>
      </c>
      <c r="P18" s="227">
        <f t="shared" si="0"/>
        <v>419</v>
      </c>
      <c r="Q18" s="176">
        <f t="shared" si="1"/>
        <v>5605</v>
      </c>
    </row>
    <row r="19" spans="1:17" ht="24.95" customHeight="1">
      <c r="A19" s="275">
        <v>13</v>
      </c>
      <c r="B19" s="322" t="s">
        <v>569</v>
      </c>
      <c r="C19" s="158">
        <v>1590</v>
      </c>
      <c r="D19" s="155">
        <v>1</v>
      </c>
      <c r="E19" s="43">
        <v>176</v>
      </c>
      <c r="F19" s="155">
        <v>42</v>
      </c>
      <c r="G19" s="158">
        <v>1340</v>
      </c>
      <c r="H19" s="155">
        <v>1</v>
      </c>
      <c r="I19" s="158">
        <v>40</v>
      </c>
      <c r="J19" s="1128">
        <v>386</v>
      </c>
      <c r="K19" s="43">
        <v>1730</v>
      </c>
      <c r="L19" s="155">
        <v>24</v>
      </c>
      <c r="M19" s="583">
        <v>84</v>
      </c>
      <c r="N19" s="1216" t="s">
        <v>570</v>
      </c>
      <c r="O19" s="1220" t="s">
        <v>570</v>
      </c>
      <c r="P19" s="427">
        <f t="shared" si="0"/>
        <v>454</v>
      </c>
      <c r="Q19" s="963">
        <v>4960</v>
      </c>
    </row>
    <row r="20" spans="1:17" ht="12.6" customHeight="1">
      <c r="A20" s="408"/>
      <c r="B20" s="515"/>
      <c r="C20" s="862"/>
      <c r="D20" s="515"/>
      <c r="E20" s="862"/>
      <c r="F20" s="862"/>
      <c r="G20" s="863"/>
      <c r="H20" s="863"/>
      <c r="I20" s="421"/>
      <c r="K20" s="1416" t="s">
        <v>80</v>
      </c>
      <c r="L20" s="1416"/>
      <c r="M20" s="500" t="s">
        <v>1320</v>
      </c>
      <c r="N20" s="500"/>
      <c r="O20" s="500"/>
      <c r="P20" s="421"/>
      <c r="Q20" s="421"/>
    </row>
    <row r="21" spans="1:17" ht="12.6" customHeight="1">
      <c r="A21" s="408"/>
      <c r="B21" s="515"/>
      <c r="C21" s="862"/>
      <c r="D21" s="515"/>
      <c r="E21" s="862"/>
      <c r="F21" s="862"/>
      <c r="G21" s="863"/>
      <c r="H21" s="863"/>
      <c r="I21" s="421"/>
      <c r="J21" s="408"/>
      <c r="K21" s="878"/>
      <c r="L21" s="878"/>
      <c r="M21" s="1223" t="s">
        <v>1149</v>
      </c>
      <c r="N21" s="500"/>
      <c r="O21" s="500"/>
      <c r="P21" s="421"/>
      <c r="Q21" s="421"/>
    </row>
    <row r="22" spans="1:17" ht="12.6" customHeight="1">
      <c r="A22" s="282"/>
      <c r="B22" s="361"/>
      <c r="C22" s="862"/>
      <c r="D22" s="361"/>
      <c r="E22" s="862"/>
      <c r="F22" s="862"/>
      <c r="G22" s="863"/>
      <c r="H22" s="130"/>
      <c r="I22" s="421"/>
      <c r="J22" s="408"/>
      <c r="K22" s="878"/>
      <c r="L22" s="875" t="s">
        <v>81</v>
      </c>
      <c r="M22" s="941" t="s">
        <v>1318</v>
      </c>
      <c r="N22" s="500"/>
      <c r="O22" s="500"/>
      <c r="P22" s="421"/>
      <c r="Q22" s="421"/>
    </row>
    <row r="23" spans="1:17" ht="12.6" customHeight="1">
      <c r="A23" s="408"/>
      <c r="B23" s="429"/>
      <c r="C23" s="429"/>
      <c r="D23" s="429"/>
      <c r="E23" s="429"/>
      <c r="F23" s="429"/>
      <c r="G23" s="429"/>
      <c r="H23" s="67"/>
      <c r="I23" s="67"/>
      <c r="J23" s="421"/>
      <c r="K23" s="421"/>
      <c r="L23" s="1224" t="s">
        <v>82</v>
      </c>
      <c r="M23" s="500" t="s">
        <v>1317</v>
      </c>
      <c r="N23" s="421"/>
      <c r="O23" s="421"/>
      <c r="P23" s="421"/>
      <c r="Q23" s="421"/>
    </row>
    <row r="24" spans="1:17" ht="12.6" customHeight="1">
      <c r="A24" s="408"/>
      <c r="B24" s="383"/>
      <c r="C24" s="527"/>
      <c r="D24" s="408"/>
      <c r="E24" s="408"/>
      <c r="F24" s="421"/>
      <c r="G24" s="421"/>
      <c r="H24" s="421"/>
      <c r="I24" s="421"/>
      <c r="J24" s="421"/>
      <c r="K24" s="421"/>
      <c r="L24" s="421"/>
      <c r="M24" s="421"/>
      <c r="N24" s="421"/>
      <c r="O24" s="421"/>
      <c r="P24" s="421"/>
      <c r="Q24" s="421"/>
    </row>
    <row r="25" spans="1:17" ht="12.6" customHeight="1">
      <c r="A25" s="862"/>
      <c r="B25" s="862"/>
      <c r="C25" s="862"/>
      <c r="D25" s="862"/>
      <c r="E25" s="862"/>
      <c r="F25" s="862"/>
      <c r="G25" s="862"/>
      <c r="H25" s="862"/>
      <c r="I25" s="862"/>
    </row>
    <row r="26" spans="1:17" ht="12.6" customHeight="1">
      <c r="A26" s="862"/>
      <c r="B26" s="862"/>
      <c r="C26" s="862"/>
      <c r="D26" s="862"/>
      <c r="E26" s="862"/>
      <c r="F26" s="67"/>
      <c r="G26" s="515"/>
      <c r="H26" s="67"/>
      <c r="I26" s="862"/>
    </row>
    <row r="27" spans="1:17" ht="12.6" customHeight="1">
      <c r="A27" s="862"/>
      <c r="B27" s="862"/>
      <c r="C27" s="862"/>
      <c r="D27" s="862"/>
      <c r="E27" s="862"/>
      <c r="F27" s="862"/>
      <c r="G27" s="862"/>
      <c r="H27" s="862"/>
      <c r="I27" s="862"/>
    </row>
    <row r="28" spans="1:17" ht="12.6" customHeight="1">
      <c r="B28" s="515"/>
    </row>
    <row r="29" spans="1:17" ht="12.6" customHeight="1">
      <c r="B29" s="515"/>
    </row>
    <row r="30" spans="1:17" ht="15.75" customHeight="1">
      <c r="B30" s="515"/>
    </row>
    <row r="31" spans="1:17" ht="15.75" customHeight="1">
      <c r="B31" s="515"/>
    </row>
    <row r="49" spans="5:5" ht="15.75" customHeight="1">
      <c r="E49" s="38"/>
    </row>
  </sheetData>
  <mergeCells count="12">
    <mergeCell ref="K20:L20"/>
    <mergeCell ref="A1:Q1"/>
    <mergeCell ref="A2:Q2"/>
    <mergeCell ref="J4:K4"/>
    <mergeCell ref="L4:M4"/>
    <mergeCell ref="N4:O4"/>
    <mergeCell ref="P4:Q4"/>
    <mergeCell ref="D4:E4"/>
    <mergeCell ref="A4:A5"/>
    <mergeCell ref="F4:G4"/>
    <mergeCell ref="H4:I4"/>
    <mergeCell ref="B4:B5"/>
  </mergeCells>
  <phoneticPr fontId="0" type="noConversion"/>
  <conditionalFormatting sqref="M22:M65536 A1:L1048576 M1:M20 N1:IV1048576">
    <cfRule type="cellIs" dxfId="0" priority="1" stopIfTrue="1" operator="equal">
      <formula>".."</formula>
    </cfRule>
  </conditionalFormatting>
  <printOptions horizontalCentered="1"/>
  <pageMargins left="0.1" right="0.1" top="0.54" bottom="0.1" header="0.26" footer="0.1"/>
  <pageSetup paperSize="9" orientation="landscape" blackAndWhite="1" r:id="rId1"/>
  <headerFooter alignWithMargins="0"/>
  <legacyDrawing r:id="rId2"/>
  <oleObjects>
    <oleObject progId="Word.Document.8" shapeId="22530" r:id="rId3"/>
  </oleObjects>
</worksheet>
</file>

<file path=xl/worksheets/sheet78.xml><?xml version="1.0" encoding="utf-8"?>
<worksheet xmlns="http://schemas.openxmlformats.org/spreadsheetml/2006/main" xmlns:r="http://schemas.openxmlformats.org/officeDocument/2006/relationships">
  <sheetPr codeName="Sheet84"/>
  <dimension ref="A1:K19"/>
  <sheetViews>
    <sheetView workbookViewId="0">
      <selection activeCell="J15" sqref="J15"/>
    </sheetView>
  </sheetViews>
  <sheetFormatPr defaultRowHeight="12.75"/>
  <cols>
    <col min="1" max="1" width="4" customWidth="1"/>
    <col min="2" max="2" width="19.140625" customWidth="1"/>
    <col min="3" max="3" width="10.140625" customWidth="1"/>
    <col min="4" max="4" width="9.85546875" customWidth="1"/>
    <col min="5" max="5" width="10.85546875" customWidth="1"/>
    <col min="6" max="6" width="12" customWidth="1"/>
    <col min="7" max="7" width="15.42578125" customWidth="1"/>
    <col min="8" max="8" width="14.7109375" customWidth="1"/>
    <col min="9" max="9" width="12.28515625" customWidth="1"/>
  </cols>
  <sheetData>
    <row r="1" spans="1:11" s="6" customFormat="1" ht="15.75" customHeight="1">
      <c r="A1" s="55"/>
      <c r="B1" s="1286" t="s">
        <v>497</v>
      </c>
      <c r="C1" s="1286"/>
      <c r="D1" s="1286"/>
      <c r="E1" s="1286"/>
      <c r="F1" s="1286"/>
      <c r="G1" s="1286"/>
      <c r="H1" s="1286"/>
      <c r="I1" s="1286"/>
    </row>
    <row r="2" spans="1:11" s="6" customFormat="1" ht="21" customHeight="1">
      <c r="B2" s="1287" t="str">
        <f>CONCATENATE("Particulars of Fisheries in the Blocks of ",District!$A$1," for the year " &amp; District!C2)</f>
        <v>Particulars of Fisheries in the Blocks of Jalpaiguri for the year 2013-14</v>
      </c>
      <c r="C2" s="1287"/>
      <c r="D2" s="1287"/>
      <c r="E2" s="1287"/>
      <c r="F2" s="1287"/>
      <c r="G2" s="1287"/>
      <c r="H2" s="1287"/>
      <c r="I2" s="1287"/>
    </row>
    <row r="3" spans="1:11" s="6" customFormat="1" ht="56.25" customHeight="1">
      <c r="A3" s="373" t="s">
        <v>1521</v>
      </c>
      <c r="B3" s="642" t="s">
        <v>1117</v>
      </c>
      <c r="C3" s="642" t="s">
        <v>802</v>
      </c>
      <c r="D3" s="1003" t="s">
        <v>537</v>
      </c>
      <c r="E3" s="825" t="s">
        <v>541</v>
      </c>
      <c r="F3" s="373" t="s">
        <v>189</v>
      </c>
      <c r="G3" s="825" t="s">
        <v>190</v>
      </c>
      <c r="H3" s="373" t="s">
        <v>803</v>
      </c>
      <c r="I3" s="638" t="s">
        <v>191</v>
      </c>
    </row>
    <row r="4" spans="1:11" s="6" customFormat="1" ht="15.75" customHeight="1">
      <c r="A4" s="57" t="s">
        <v>278</v>
      </c>
      <c r="B4" s="92" t="s">
        <v>279</v>
      </c>
      <c r="C4" s="92" t="s">
        <v>280</v>
      </c>
      <c r="D4" s="530" t="s">
        <v>281</v>
      </c>
      <c r="E4" s="87" t="s">
        <v>282</v>
      </c>
      <c r="F4" s="57" t="s">
        <v>283</v>
      </c>
      <c r="G4" s="87" t="s">
        <v>284</v>
      </c>
      <c r="H4" s="57" t="s">
        <v>301</v>
      </c>
      <c r="I4" s="58" t="s">
        <v>302</v>
      </c>
    </row>
    <row r="5" spans="1:11" s="6" customFormat="1" ht="26.1" customHeight="1">
      <c r="A5" s="91">
        <v>1</v>
      </c>
      <c r="B5" s="298" t="s">
        <v>561</v>
      </c>
      <c r="C5" s="169">
        <v>7</v>
      </c>
      <c r="D5" s="582">
        <v>872.15599999999995</v>
      </c>
      <c r="E5" s="582">
        <v>872.15599999999995</v>
      </c>
      <c r="F5" s="582">
        <v>269.55</v>
      </c>
      <c r="G5" s="31">
        <v>175</v>
      </c>
      <c r="H5" s="52">
        <v>9512</v>
      </c>
      <c r="I5" s="48">
        <v>8900</v>
      </c>
      <c r="K5" s="1015"/>
    </row>
    <row r="6" spans="1:11" s="6" customFormat="1" ht="26.1" customHeight="1">
      <c r="A6" s="91">
        <v>2</v>
      </c>
      <c r="B6" s="298" t="s">
        <v>1149</v>
      </c>
      <c r="C6" s="169">
        <v>9</v>
      </c>
      <c r="D6" s="582">
        <v>3961.3440000000001</v>
      </c>
      <c r="E6" s="582">
        <v>3961.3440000000001</v>
      </c>
      <c r="F6" s="582">
        <v>451.96</v>
      </c>
      <c r="G6" s="31">
        <v>310</v>
      </c>
      <c r="H6" s="52">
        <v>16427</v>
      </c>
      <c r="I6" s="48">
        <v>9650</v>
      </c>
      <c r="K6" s="1015"/>
    </row>
    <row r="7" spans="1:11" s="6" customFormat="1" ht="26.1" customHeight="1">
      <c r="A7" s="91">
        <v>3</v>
      </c>
      <c r="B7" s="298" t="s">
        <v>549</v>
      </c>
      <c r="C7" s="169">
        <v>11</v>
      </c>
      <c r="D7" s="582">
        <v>11650.531000000001</v>
      </c>
      <c r="E7" s="582">
        <v>11650.531000000001</v>
      </c>
      <c r="F7" s="582">
        <v>421.11</v>
      </c>
      <c r="G7" s="31">
        <v>325</v>
      </c>
      <c r="H7" s="52">
        <v>11476</v>
      </c>
      <c r="I7" s="48">
        <v>9000</v>
      </c>
      <c r="K7" s="1015"/>
    </row>
    <row r="8" spans="1:11" s="6" customFormat="1" ht="26.1" customHeight="1">
      <c r="A8" s="91">
        <v>4</v>
      </c>
      <c r="B8" s="298" t="s">
        <v>732</v>
      </c>
      <c r="C8" s="169">
        <v>11</v>
      </c>
      <c r="D8" s="582">
        <v>4210.5309999999999</v>
      </c>
      <c r="E8" s="582">
        <v>4210.5309999999999</v>
      </c>
      <c r="F8" s="582">
        <v>494.28699999999998</v>
      </c>
      <c r="G8" s="31">
        <v>375</v>
      </c>
      <c r="H8" s="52">
        <v>10846</v>
      </c>
      <c r="I8" s="48">
        <v>9100</v>
      </c>
      <c r="K8" s="1015"/>
    </row>
    <row r="9" spans="1:11" s="6" customFormat="1" ht="26.1" customHeight="1">
      <c r="A9" s="91">
        <v>5</v>
      </c>
      <c r="B9" s="298" t="s">
        <v>552</v>
      </c>
      <c r="C9" s="169">
        <v>7</v>
      </c>
      <c r="D9" s="582">
        <v>872.15599999999995</v>
      </c>
      <c r="E9" s="582">
        <v>872.15599999999995</v>
      </c>
      <c r="F9" s="582">
        <v>297.09399999999999</v>
      </c>
      <c r="G9" s="31">
        <v>165</v>
      </c>
      <c r="H9" s="52">
        <v>2579</v>
      </c>
      <c r="I9" s="48">
        <v>930</v>
      </c>
      <c r="K9" s="1015"/>
    </row>
    <row r="10" spans="1:11" s="6" customFormat="1" ht="26.1" customHeight="1">
      <c r="A10" s="91">
        <v>6</v>
      </c>
      <c r="B10" s="298" t="s">
        <v>553</v>
      </c>
      <c r="C10" s="169">
        <v>7</v>
      </c>
      <c r="D10" s="582">
        <v>872.15599999999995</v>
      </c>
      <c r="E10" s="582">
        <v>872.15599999999995</v>
      </c>
      <c r="F10" s="582">
        <v>53.317</v>
      </c>
      <c r="G10" s="31">
        <v>35</v>
      </c>
      <c r="H10" s="52">
        <v>876</v>
      </c>
      <c r="I10" s="48">
        <v>450</v>
      </c>
      <c r="K10" s="1015"/>
    </row>
    <row r="11" spans="1:11" s="6" customFormat="1" ht="26.1" customHeight="1">
      <c r="A11" s="91">
        <v>7</v>
      </c>
      <c r="B11" s="298" t="s">
        <v>554</v>
      </c>
      <c r="C11" s="169">
        <v>8</v>
      </c>
      <c r="D11" s="582">
        <v>996.74900000000002</v>
      </c>
      <c r="E11" s="582">
        <v>996.74900000000002</v>
      </c>
      <c r="F11" s="582">
        <v>37.223999999999997</v>
      </c>
      <c r="G11" s="31">
        <v>27</v>
      </c>
      <c r="H11" s="52">
        <v>961</v>
      </c>
      <c r="I11" s="48">
        <v>520</v>
      </c>
      <c r="K11" s="1015"/>
    </row>
    <row r="12" spans="1:11" s="6" customFormat="1" ht="26.1" customHeight="1">
      <c r="A12" s="91">
        <v>8</v>
      </c>
      <c r="B12" s="298" t="s">
        <v>555</v>
      </c>
      <c r="C12" s="169">
        <v>7</v>
      </c>
      <c r="D12" s="582">
        <v>872.15599999999995</v>
      </c>
      <c r="E12" s="582">
        <v>872.15599999999995</v>
      </c>
      <c r="F12" s="582">
        <v>116.2</v>
      </c>
      <c r="G12" s="31">
        <v>78</v>
      </c>
      <c r="H12" s="52">
        <v>17865</v>
      </c>
      <c r="I12" s="48">
        <v>6100</v>
      </c>
      <c r="K12" s="1015"/>
    </row>
    <row r="13" spans="1:11" s="6" customFormat="1" ht="26.1" customHeight="1">
      <c r="A13" s="91">
        <v>9</v>
      </c>
      <c r="B13" s="298" t="s">
        <v>557</v>
      </c>
      <c r="C13" s="169">
        <v>9</v>
      </c>
      <c r="D13" s="582">
        <v>9805.3439999999991</v>
      </c>
      <c r="E13" s="582">
        <v>9805.3439999999991</v>
      </c>
      <c r="F13" s="582">
        <v>219.84</v>
      </c>
      <c r="G13" s="31">
        <v>180</v>
      </c>
      <c r="H13" s="52">
        <v>6786</v>
      </c>
      <c r="I13" s="48">
        <v>4250</v>
      </c>
      <c r="K13" s="1015"/>
    </row>
    <row r="14" spans="1:11" s="6" customFormat="1" ht="26.1" customHeight="1">
      <c r="A14" s="91">
        <v>10</v>
      </c>
      <c r="B14" s="91" t="s">
        <v>560</v>
      </c>
      <c r="C14" s="31">
        <v>9</v>
      </c>
      <c r="D14" s="582">
        <v>5296.3440000000001</v>
      </c>
      <c r="E14" s="582">
        <v>5296.3440000000001</v>
      </c>
      <c r="F14" s="582">
        <v>46.521000000000001</v>
      </c>
      <c r="G14" s="31">
        <v>30</v>
      </c>
      <c r="H14" s="52">
        <v>2294</v>
      </c>
      <c r="I14" s="48">
        <v>1550</v>
      </c>
      <c r="K14" s="1015"/>
    </row>
    <row r="15" spans="1:11" s="6" customFormat="1" ht="26.1" customHeight="1">
      <c r="A15" s="91">
        <v>11</v>
      </c>
      <c r="B15" s="298" t="s">
        <v>566</v>
      </c>
      <c r="C15" s="169">
        <v>10</v>
      </c>
      <c r="D15" s="582">
        <v>5587.9369999999999</v>
      </c>
      <c r="E15" s="582">
        <v>5587.9369999999999</v>
      </c>
      <c r="F15" s="582">
        <v>40.046999999999997</v>
      </c>
      <c r="G15" s="31">
        <v>23</v>
      </c>
      <c r="H15" s="52">
        <v>2041</v>
      </c>
      <c r="I15" s="48">
        <v>400</v>
      </c>
      <c r="K15" s="1015"/>
    </row>
    <row r="16" spans="1:11" s="6" customFormat="1" ht="26.1" customHeight="1">
      <c r="A16" s="91">
        <v>12</v>
      </c>
      <c r="B16" s="298" t="s">
        <v>567</v>
      </c>
      <c r="C16" s="169">
        <v>9</v>
      </c>
      <c r="D16" s="582">
        <v>5296.3440000000001</v>
      </c>
      <c r="E16" s="582">
        <v>5296.3440000000001</v>
      </c>
      <c r="F16" s="582">
        <v>258.64999999999998</v>
      </c>
      <c r="G16" s="31">
        <v>190</v>
      </c>
      <c r="H16" s="52">
        <v>10425</v>
      </c>
      <c r="I16" s="48">
        <v>7100</v>
      </c>
      <c r="K16" s="1015"/>
    </row>
    <row r="17" spans="1:11" s="6" customFormat="1" ht="26.1" customHeight="1">
      <c r="A17" s="275">
        <v>13</v>
      </c>
      <c r="B17" s="299" t="s">
        <v>569</v>
      </c>
      <c r="C17" s="44">
        <v>11</v>
      </c>
      <c r="D17" s="583">
        <v>4543.5309999999999</v>
      </c>
      <c r="E17" s="583">
        <v>4543.5309999999999</v>
      </c>
      <c r="F17" s="583">
        <v>356.06</v>
      </c>
      <c r="G17" s="158">
        <v>270</v>
      </c>
      <c r="H17" s="155">
        <v>12653</v>
      </c>
      <c r="I17" s="43">
        <v>6900</v>
      </c>
      <c r="K17" s="1015"/>
    </row>
    <row r="18" spans="1:11" s="6" customFormat="1" ht="12.75" customHeight="1">
      <c r="F18" s="925" t="s">
        <v>960</v>
      </c>
      <c r="G18" s="878" t="s">
        <v>542</v>
      </c>
      <c r="H18" s="878"/>
    </row>
    <row r="19" spans="1:11" s="6" customFormat="1" ht="12.75" customHeight="1">
      <c r="F19" s="878"/>
      <c r="G19" s="878" t="s">
        <v>673</v>
      </c>
      <c r="H19" s="878"/>
    </row>
  </sheetData>
  <mergeCells count="2">
    <mergeCell ref="B2:I2"/>
    <mergeCell ref="B1:I1"/>
  </mergeCells>
  <phoneticPr fontId="0" type="noConversion"/>
  <printOptions horizontalCentered="1"/>
  <pageMargins left="0.1" right="0.1" top="0.7" bottom="0.1" header="0.7" footer="0.1"/>
  <pageSetup paperSize="9" orientation="landscape" blackAndWhite="1" r:id="rId1"/>
  <headerFooter alignWithMargins="0"/>
</worksheet>
</file>

<file path=xl/worksheets/sheet79.xml><?xml version="1.0" encoding="utf-8"?>
<worksheet xmlns="http://schemas.openxmlformats.org/spreadsheetml/2006/main" xmlns:r="http://schemas.openxmlformats.org/officeDocument/2006/relationships">
  <sheetPr codeName="Sheet85"/>
  <dimension ref="A1:H48"/>
  <sheetViews>
    <sheetView workbookViewId="0">
      <selection activeCell="J15" sqref="J15"/>
    </sheetView>
  </sheetViews>
  <sheetFormatPr defaultRowHeight="12.75"/>
  <cols>
    <col min="1" max="1" width="5.42578125" customWidth="1"/>
    <col min="2" max="2" width="21.85546875" customWidth="1"/>
    <col min="3" max="8" width="15.7109375" customWidth="1"/>
  </cols>
  <sheetData>
    <row r="1" spans="1:8" ht="18" customHeight="1">
      <c r="A1" s="1361" t="s">
        <v>498</v>
      </c>
      <c r="B1" s="1361"/>
      <c r="C1" s="1361"/>
      <c r="D1" s="1361"/>
      <c r="E1" s="1361"/>
      <c r="F1" s="1361"/>
      <c r="G1" s="1361"/>
      <c r="H1" s="1361"/>
    </row>
    <row r="2" spans="1:8" ht="27" customHeight="1">
      <c r="A2" s="1437" t="str">
        <f>CONCATENATE("Estimated Number of Live-stock and Poultry in the Blocks of ",District!$A$1," for the year " &amp; District!C2)</f>
        <v>Estimated Number of Live-stock and Poultry in the Blocks of Jalpaiguri for the year 2013-14</v>
      </c>
      <c r="B2" s="1437"/>
      <c r="C2" s="1437"/>
      <c r="D2" s="1437"/>
      <c r="E2" s="1437"/>
      <c r="F2" s="1437"/>
      <c r="G2" s="1437"/>
      <c r="H2" s="1437"/>
    </row>
    <row r="3" spans="1:8" ht="20.100000000000001" customHeight="1">
      <c r="A3" s="1299" t="s">
        <v>1499</v>
      </c>
      <c r="B3" s="1299" t="s">
        <v>38</v>
      </c>
      <c r="C3" s="1445" t="s">
        <v>1106</v>
      </c>
      <c r="D3" s="1444"/>
      <c r="E3" s="1444"/>
      <c r="F3" s="1444"/>
      <c r="G3" s="1446"/>
      <c r="H3" s="1294" t="s">
        <v>1483</v>
      </c>
    </row>
    <row r="4" spans="1:8" ht="23.25" customHeight="1">
      <c r="A4" s="1302"/>
      <c r="B4" s="1301"/>
      <c r="C4" s="369" t="s">
        <v>1481</v>
      </c>
      <c r="D4" s="406" t="s">
        <v>1482</v>
      </c>
      <c r="E4" s="406" t="s">
        <v>1077</v>
      </c>
      <c r="F4" s="406" t="s">
        <v>142</v>
      </c>
      <c r="G4" s="371" t="s">
        <v>545</v>
      </c>
      <c r="H4" s="1505"/>
    </row>
    <row r="5" spans="1:8" ht="20.100000000000001" customHeight="1">
      <c r="A5" s="57" t="s">
        <v>278</v>
      </c>
      <c r="B5" s="57" t="s">
        <v>279</v>
      </c>
      <c r="C5" s="87" t="s">
        <v>280</v>
      </c>
      <c r="D5" s="57" t="s">
        <v>281</v>
      </c>
      <c r="E5" s="57" t="s">
        <v>282</v>
      </c>
      <c r="F5" s="57" t="s">
        <v>283</v>
      </c>
      <c r="G5" s="87" t="s">
        <v>284</v>
      </c>
      <c r="H5" s="57" t="s">
        <v>301</v>
      </c>
    </row>
    <row r="6" spans="1:8" ht="26.1" customHeight="1">
      <c r="A6" s="91">
        <v>1</v>
      </c>
      <c r="B6" s="91" t="s">
        <v>561</v>
      </c>
      <c r="C6" s="31">
        <v>79032</v>
      </c>
      <c r="D6" s="52">
        <v>2896</v>
      </c>
      <c r="E6" s="52">
        <v>51406</v>
      </c>
      <c r="F6" s="52">
        <v>3892</v>
      </c>
      <c r="G6" s="31">
        <v>4844</v>
      </c>
      <c r="H6" s="52">
        <v>432845</v>
      </c>
    </row>
    <row r="7" spans="1:8" ht="26.1" customHeight="1">
      <c r="A7" s="91">
        <v>2</v>
      </c>
      <c r="B7" s="91" t="s">
        <v>1149</v>
      </c>
      <c r="C7" s="31">
        <v>148254</v>
      </c>
      <c r="D7" s="52">
        <v>1928</v>
      </c>
      <c r="E7" s="52">
        <v>99677</v>
      </c>
      <c r="F7" s="52">
        <v>2845</v>
      </c>
      <c r="G7" s="31">
        <v>4434</v>
      </c>
      <c r="H7" s="52">
        <v>356508</v>
      </c>
    </row>
    <row r="8" spans="1:8" ht="26.1" customHeight="1">
      <c r="A8" s="91">
        <v>3</v>
      </c>
      <c r="B8" s="91" t="s">
        <v>549</v>
      </c>
      <c r="C8" s="31">
        <v>118132</v>
      </c>
      <c r="D8" s="52">
        <v>1252</v>
      </c>
      <c r="E8" s="52">
        <v>64385</v>
      </c>
      <c r="F8" s="52">
        <v>2204</v>
      </c>
      <c r="G8" s="31">
        <v>3526</v>
      </c>
      <c r="H8" s="52">
        <v>133029</v>
      </c>
    </row>
    <row r="9" spans="1:8" ht="26.1" customHeight="1">
      <c r="A9" s="91">
        <v>4</v>
      </c>
      <c r="B9" s="91" t="s">
        <v>732</v>
      </c>
      <c r="C9" s="31">
        <v>90839</v>
      </c>
      <c r="D9" s="52">
        <v>188</v>
      </c>
      <c r="E9" s="52">
        <v>68642</v>
      </c>
      <c r="F9" s="52">
        <v>4485</v>
      </c>
      <c r="G9" s="31">
        <v>14122</v>
      </c>
      <c r="H9" s="52">
        <v>151659</v>
      </c>
    </row>
    <row r="10" spans="1:8" ht="26.1" customHeight="1">
      <c r="A10" s="91">
        <v>5</v>
      </c>
      <c r="B10" s="91" t="s">
        <v>552</v>
      </c>
      <c r="C10" s="31">
        <v>78955</v>
      </c>
      <c r="D10" s="52">
        <v>524</v>
      </c>
      <c r="E10" s="52">
        <v>48845</v>
      </c>
      <c r="F10" s="52">
        <v>4340</v>
      </c>
      <c r="G10" s="31">
        <v>19106</v>
      </c>
      <c r="H10" s="52">
        <v>145802</v>
      </c>
    </row>
    <row r="11" spans="1:8" ht="26.1" customHeight="1">
      <c r="A11" s="91">
        <v>6</v>
      </c>
      <c r="B11" s="91" t="s">
        <v>553</v>
      </c>
      <c r="C11" s="31">
        <v>23905</v>
      </c>
      <c r="D11" s="52">
        <v>32</v>
      </c>
      <c r="E11" s="52">
        <v>21744</v>
      </c>
      <c r="F11" s="52">
        <v>38</v>
      </c>
      <c r="G11" s="31">
        <v>4655</v>
      </c>
      <c r="H11" s="52">
        <v>95156</v>
      </c>
    </row>
    <row r="12" spans="1:8" ht="26.1" customHeight="1">
      <c r="A12" s="91">
        <v>7</v>
      </c>
      <c r="B12" s="91" t="s">
        <v>554</v>
      </c>
      <c r="C12" s="31">
        <v>39567</v>
      </c>
      <c r="D12" s="52">
        <v>1538</v>
      </c>
      <c r="E12" s="52">
        <v>23612</v>
      </c>
      <c r="F12" s="52">
        <v>216</v>
      </c>
      <c r="G12" s="31">
        <v>16028</v>
      </c>
      <c r="H12" s="52">
        <v>123076</v>
      </c>
    </row>
    <row r="13" spans="1:8" s="7" customFormat="1" ht="26.1" customHeight="1">
      <c r="A13" s="91">
        <v>8</v>
      </c>
      <c r="B13" s="91" t="s">
        <v>555</v>
      </c>
      <c r="C13" s="31">
        <v>62744</v>
      </c>
      <c r="D13" s="52">
        <v>340</v>
      </c>
      <c r="E13" s="52">
        <v>31328</v>
      </c>
      <c r="F13" s="52">
        <v>2344</v>
      </c>
      <c r="G13" s="31">
        <v>10285</v>
      </c>
      <c r="H13" s="52">
        <v>94030</v>
      </c>
    </row>
    <row r="14" spans="1:8" ht="26.1" customHeight="1">
      <c r="A14" s="91">
        <v>9</v>
      </c>
      <c r="B14" s="91" t="s">
        <v>557</v>
      </c>
      <c r="C14" s="31">
        <v>95344</v>
      </c>
      <c r="D14" s="52">
        <v>96</v>
      </c>
      <c r="E14" s="52">
        <v>41872</v>
      </c>
      <c r="F14" s="52">
        <v>3584</v>
      </c>
      <c r="G14" s="31">
        <v>5192</v>
      </c>
      <c r="H14" s="52">
        <v>188256</v>
      </c>
    </row>
    <row r="15" spans="1:8" ht="26.1" customHeight="1">
      <c r="A15" s="91">
        <v>10</v>
      </c>
      <c r="B15" s="91" t="s">
        <v>560</v>
      </c>
      <c r="C15" s="53">
        <v>52637</v>
      </c>
      <c r="D15" s="52">
        <v>378</v>
      </c>
      <c r="E15" s="52">
        <v>30178</v>
      </c>
      <c r="F15" s="52">
        <v>463</v>
      </c>
      <c r="G15" s="31">
        <v>9213</v>
      </c>
      <c r="H15" s="52">
        <v>131038</v>
      </c>
    </row>
    <row r="16" spans="1:8" ht="26.1" customHeight="1">
      <c r="A16" s="91">
        <v>11</v>
      </c>
      <c r="B16" s="91" t="s">
        <v>566</v>
      </c>
      <c r="C16" s="31">
        <v>64977</v>
      </c>
      <c r="D16" s="52">
        <v>1548</v>
      </c>
      <c r="E16" s="52">
        <v>44870</v>
      </c>
      <c r="F16" s="52">
        <v>342</v>
      </c>
      <c r="G16" s="31">
        <v>24446</v>
      </c>
      <c r="H16" s="52">
        <v>138972</v>
      </c>
    </row>
    <row r="17" spans="1:8" ht="26.1" customHeight="1">
      <c r="A17" s="91">
        <v>12</v>
      </c>
      <c r="B17" s="91" t="s">
        <v>567</v>
      </c>
      <c r="C17" s="31">
        <v>75821</v>
      </c>
      <c r="D17" s="52">
        <v>260</v>
      </c>
      <c r="E17" s="52">
        <v>38744</v>
      </c>
      <c r="F17" s="52">
        <v>1140</v>
      </c>
      <c r="G17" s="31">
        <v>4234</v>
      </c>
      <c r="H17" s="52">
        <v>71876</v>
      </c>
    </row>
    <row r="18" spans="1:8" ht="26.1" customHeight="1">
      <c r="A18" s="275">
        <v>13</v>
      </c>
      <c r="B18" s="275" t="s">
        <v>569</v>
      </c>
      <c r="C18" s="155">
        <v>82392</v>
      </c>
      <c r="D18" s="155">
        <v>162</v>
      </c>
      <c r="E18" s="155">
        <v>31317</v>
      </c>
      <c r="F18" s="155">
        <v>1416</v>
      </c>
      <c r="G18" s="158">
        <v>4387</v>
      </c>
      <c r="H18" s="155">
        <v>79394</v>
      </c>
    </row>
    <row r="19" spans="1:8" ht="20.100000000000001" customHeight="1">
      <c r="B19" s="359"/>
      <c r="C19" s="359"/>
      <c r="D19" s="359"/>
      <c r="E19" s="359"/>
      <c r="F19" s="359"/>
      <c r="G19" s="359"/>
      <c r="H19" s="886" t="s">
        <v>618</v>
      </c>
    </row>
    <row r="20" spans="1:8" ht="20.100000000000001" customHeight="1">
      <c r="D20" s="55"/>
      <c r="E20" s="55"/>
      <c r="F20" s="55"/>
      <c r="G20" s="55"/>
    </row>
    <row r="21" spans="1:8" ht="20.100000000000001" customHeight="1">
      <c r="B21" s="3"/>
      <c r="C21" s="70"/>
      <c r="D21" s="70"/>
      <c r="E21" s="63"/>
      <c r="F21" s="63"/>
      <c r="G21" s="63"/>
    </row>
    <row r="22" spans="1:8" ht="20.100000000000001" customHeight="1"/>
    <row r="23" spans="1:8" ht="20.100000000000001" customHeight="1"/>
    <row r="24" spans="1:8" ht="20.100000000000001" customHeight="1"/>
    <row r="25" spans="1:8" ht="20.100000000000001" customHeight="1"/>
    <row r="26" spans="1:8" ht="20.100000000000001" customHeight="1"/>
    <row r="46" spans="2:8">
      <c r="D46" s="7"/>
    </row>
    <row r="48" spans="2:8">
      <c r="B48" s="7"/>
      <c r="C48" s="7"/>
      <c r="D48" s="7"/>
      <c r="E48" s="7"/>
      <c r="F48" s="7"/>
      <c r="G48" s="7"/>
      <c r="H48" s="7"/>
    </row>
  </sheetData>
  <mergeCells count="6">
    <mergeCell ref="A2:H2"/>
    <mergeCell ref="B3:B4"/>
    <mergeCell ref="A1:H1"/>
    <mergeCell ref="C3:G3"/>
    <mergeCell ref="H3:H4"/>
    <mergeCell ref="A3:A4"/>
  </mergeCells>
  <phoneticPr fontId="0" type="noConversion"/>
  <printOptions horizontalCentered="1"/>
  <pageMargins left="0.14000000000000001" right="0.1" top="0.76" bottom="0.1" header="0.5" footer="0.1"/>
  <pageSetup paperSize="9" orientation="landscape" blackAndWhite="1" r:id="rId1"/>
  <headerFooter alignWithMargins="0"/>
</worksheet>
</file>

<file path=xl/worksheets/sheet8.xml><?xml version="1.0" encoding="utf-8"?>
<worksheet xmlns="http://schemas.openxmlformats.org/spreadsheetml/2006/main" xmlns:r="http://schemas.openxmlformats.org/officeDocument/2006/relationships">
  <sheetPr codeName="Sheet7"/>
  <dimension ref="A1:S39"/>
  <sheetViews>
    <sheetView topLeftCell="A19" workbookViewId="0">
      <selection activeCell="G16" sqref="G16"/>
    </sheetView>
  </sheetViews>
  <sheetFormatPr defaultRowHeight="12.75"/>
  <cols>
    <col min="1" max="1" width="14" style="12" customWidth="1"/>
    <col min="2" max="2" width="14.42578125" style="12" customWidth="1"/>
    <col min="3" max="3" width="15.28515625" style="12" customWidth="1"/>
    <col min="4" max="4" width="6.140625" style="12" customWidth="1"/>
    <col min="5" max="5" width="5.42578125" style="12" customWidth="1"/>
    <col min="6" max="6" width="7.5703125" style="12" customWidth="1"/>
    <col min="7" max="7" width="7.140625" style="12" customWidth="1"/>
    <col min="8" max="8" width="8" style="12" customWidth="1"/>
    <col min="9" max="9" width="7.85546875" style="12" customWidth="1"/>
    <col min="10" max="10" width="5.7109375" style="12" customWidth="1"/>
    <col min="11" max="11" width="6.28515625" style="12" customWidth="1"/>
    <col min="12" max="12" width="5.5703125" style="12" customWidth="1"/>
    <col min="13" max="14" width="5" style="12" customWidth="1"/>
    <col min="15" max="15" width="5.7109375" style="12" customWidth="1"/>
    <col min="16" max="16" width="7.140625" style="12" customWidth="1"/>
    <col min="17" max="17" width="6.140625" style="12" customWidth="1"/>
    <col min="18" max="18" width="8.42578125" style="12" customWidth="1"/>
    <col min="19" max="16384" width="9.140625" style="12"/>
  </cols>
  <sheetData>
    <row r="1" spans="1:18" s="343" customFormat="1" ht="13.5" customHeight="1">
      <c r="A1" s="1286" t="s">
        <v>392</v>
      </c>
      <c r="B1" s="1286"/>
      <c r="C1" s="1286"/>
      <c r="D1" s="1286"/>
      <c r="E1" s="1286"/>
      <c r="F1" s="1286"/>
      <c r="G1" s="1286"/>
      <c r="H1" s="1286"/>
      <c r="I1" s="1286"/>
      <c r="J1" s="1286"/>
      <c r="K1" s="1286"/>
      <c r="L1" s="1286"/>
      <c r="M1" s="1286"/>
      <c r="N1" s="1286"/>
      <c r="O1" s="1286"/>
      <c r="P1" s="1286"/>
      <c r="Q1" s="1286"/>
      <c r="R1" s="1286"/>
    </row>
    <row r="2" spans="1:18" ht="15" customHeight="1">
      <c r="A2" s="1287" t="str">
        <f>CONCATENATE("Administrative Units in the district of ",District!$A$1," for the year " &amp; District!C1)</f>
        <v>Administrative Units in the district of Jalpaiguri for the year 2014</v>
      </c>
      <c r="B2" s="1287"/>
      <c r="C2" s="1287"/>
      <c r="D2" s="1287"/>
      <c r="E2" s="1287"/>
      <c r="F2" s="1287"/>
      <c r="G2" s="1287"/>
      <c r="H2" s="1287"/>
      <c r="I2" s="1287"/>
      <c r="J2" s="1287"/>
      <c r="K2" s="1287"/>
      <c r="L2" s="1287"/>
      <c r="M2" s="1287"/>
      <c r="N2" s="1287"/>
      <c r="O2" s="1287"/>
      <c r="P2" s="1287"/>
      <c r="Q2" s="1287"/>
      <c r="R2" s="1287"/>
    </row>
    <row r="3" spans="1:18" ht="11.25" customHeight="1">
      <c r="A3" s="416"/>
      <c r="B3" s="417"/>
      <c r="C3" s="417"/>
      <c r="D3" s="417"/>
      <c r="E3" s="417"/>
      <c r="F3" s="416"/>
      <c r="G3" s="1325"/>
      <c r="H3" s="1325"/>
      <c r="I3" s="1325"/>
      <c r="J3" s="1325"/>
      <c r="K3" s="418"/>
      <c r="L3" s="418"/>
      <c r="M3" s="416"/>
      <c r="N3" s="416"/>
      <c r="O3" s="416"/>
      <c r="P3" s="416"/>
      <c r="R3" s="1137" t="s">
        <v>312</v>
      </c>
    </row>
    <row r="4" spans="1:18" s="15" customFormat="1" ht="12" customHeight="1">
      <c r="A4" s="1350" t="s">
        <v>307</v>
      </c>
      <c r="B4" s="1336" t="s">
        <v>102</v>
      </c>
      <c r="C4" s="1332" t="s">
        <v>839</v>
      </c>
      <c r="D4" s="1291" t="s">
        <v>308</v>
      </c>
      <c r="E4" s="1291"/>
      <c r="F4" s="1291"/>
      <c r="G4" s="1330" t="s">
        <v>787</v>
      </c>
      <c r="H4" s="1346" t="s">
        <v>103</v>
      </c>
      <c r="I4" s="1332" t="s">
        <v>788</v>
      </c>
      <c r="J4" s="1291" t="s">
        <v>313</v>
      </c>
      <c r="K4" s="1291"/>
      <c r="L4" s="1291"/>
      <c r="M4" s="1291"/>
      <c r="N4" s="1291"/>
      <c r="O4" s="1291"/>
      <c r="P4" s="1291"/>
      <c r="Q4" s="1291"/>
      <c r="R4" s="1292"/>
    </row>
    <row r="5" spans="1:18" s="15" customFormat="1" ht="23.25" customHeight="1">
      <c r="A5" s="1351"/>
      <c r="B5" s="1337"/>
      <c r="C5" s="1338"/>
      <c r="D5" s="1342" t="s">
        <v>309</v>
      </c>
      <c r="E5" s="1342" t="s">
        <v>310</v>
      </c>
      <c r="F5" s="1344" t="s">
        <v>107</v>
      </c>
      <c r="G5" s="1331"/>
      <c r="H5" s="1347"/>
      <c r="I5" s="1333"/>
      <c r="J5" s="1317" t="s">
        <v>73</v>
      </c>
      <c r="K5" s="1318"/>
      <c r="L5" s="1345" t="s">
        <v>104</v>
      </c>
      <c r="M5" s="1320"/>
      <c r="N5" s="1319" t="s">
        <v>74</v>
      </c>
      <c r="O5" s="1320"/>
      <c r="P5" s="1334" t="s">
        <v>274</v>
      </c>
      <c r="Q5" s="1326" t="s">
        <v>42</v>
      </c>
      <c r="R5" s="1328" t="s">
        <v>300</v>
      </c>
    </row>
    <row r="6" spans="1:18" s="15" customFormat="1" ht="13.5" customHeight="1">
      <c r="A6" s="1352"/>
      <c r="B6" s="1327"/>
      <c r="C6" s="1333"/>
      <c r="D6" s="1343"/>
      <c r="E6" s="1343"/>
      <c r="F6" s="1335"/>
      <c r="G6" s="956" t="s">
        <v>311</v>
      </c>
      <c r="H6" s="957" t="s">
        <v>1281</v>
      </c>
      <c r="I6" s="958" t="s">
        <v>1281</v>
      </c>
      <c r="J6" s="955" t="s">
        <v>317</v>
      </c>
      <c r="K6" s="955" t="s">
        <v>318</v>
      </c>
      <c r="L6" s="959" t="s">
        <v>317</v>
      </c>
      <c r="M6" s="960" t="s">
        <v>318</v>
      </c>
      <c r="N6" s="959" t="s">
        <v>317</v>
      </c>
      <c r="O6" s="960" t="s">
        <v>318</v>
      </c>
      <c r="P6" s="1335"/>
      <c r="Q6" s="1327"/>
      <c r="R6" s="1329"/>
    </row>
    <row r="7" spans="1:18" ht="11.25" customHeight="1">
      <c r="A7" s="57" t="s">
        <v>278</v>
      </c>
      <c r="B7" s="57" t="s">
        <v>279</v>
      </c>
      <c r="C7" s="58" t="s">
        <v>280</v>
      </c>
      <c r="D7" s="87" t="s">
        <v>281</v>
      </c>
      <c r="E7" s="87" t="s">
        <v>282</v>
      </c>
      <c r="F7" s="87" t="s">
        <v>283</v>
      </c>
      <c r="G7" s="92" t="s">
        <v>284</v>
      </c>
      <c r="H7" s="57" t="s">
        <v>301</v>
      </c>
      <c r="I7" s="58" t="s">
        <v>302</v>
      </c>
      <c r="J7" s="87" t="s">
        <v>303</v>
      </c>
      <c r="K7" s="87" t="s">
        <v>304</v>
      </c>
      <c r="L7" s="92" t="s">
        <v>344</v>
      </c>
      <c r="M7" s="58" t="s">
        <v>345</v>
      </c>
      <c r="N7" s="92" t="s">
        <v>346</v>
      </c>
      <c r="O7" s="58" t="s">
        <v>347</v>
      </c>
      <c r="P7" s="87" t="s">
        <v>348</v>
      </c>
      <c r="Q7" s="57" t="s">
        <v>349</v>
      </c>
      <c r="R7" s="58" t="s">
        <v>351</v>
      </c>
    </row>
    <row r="8" spans="1:18" ht="16.5" customHeight="1">
      <c r="A8" s="352" t="s">
        <v>547</v>
      </c>
      <c r="B8" s="229">
        <v>6</v>
      </c>
      <c r="C8" s="423" t="s">
        <v>525</v>
      </c>
      <c r="D8" s="223">
        <f t="shared" ref="D8:I8" si="0">IF(SUM(D9:D16)=0,"-",SUM(D9:D16))</f>
        <v>4</v>
      </c>
      <c r="E8" s="223">
        <f t="shared" si="0"/>
        <v>58</v>
      </c>
      <c r="F8" s="564">
        <f t="shared" si="0"/>
        <v>977</v>
      </c>
      <c r="G8" s="579">
        <f t="shared" si="0"/>
        <v>247</v>
      </c>
      <c r="H8" s="579">
        <f t="shared" si="0"/>
        <v>231</v>
      </c>
      <c r="I8" s="564">
        <f t="shared" si="0"/>
        <v>410305</v>
      </c>
      <c r="J8" s="223" t="s">
        <v>105</v>
      </c>
      <c r="K8" s="564">
        <f>IF(SUM(K9:K16)=0,"-",SUM(K9:K16))</f>
        <v>14</v>
      </c>
      <c r="L8" s="223">
        <f t="shared" ref="L8:Q8" si="1">IF(SUM(L9:L16)=0,"-",SUM(L9:L16))</f>
        <v>2</v>
      </c>
      <c r="M8" s="564">
        <f t="shared" si="1"/>
        <v>41</v>
      </c>
      <c r="N8" s="223" t="str">
        <f t="shared" si="1"/>
        <v>-</v>
      </c>
      <c r="O8" s="564" t="str">
        <f t="shared" si="1"/>
        <v>-</v>
      </c>
      <c r="P8" s="564">
        <f t="shared" si="1"/>
        <v>9</v>
      </c>
      <c r="Q8" s="564" t="str">
        <f t="shared" si="1"/>
        <v>-</v>
      </c>
      <c r="R8" s="564" t="str">
        <f>IF(SUM(R9:R16)=0,"-",SUM(R9:R16)) &amp; "+1(P)"</f>
        <v>11+1(P)</v>
      </c>
    </row>
    <row r="9" spans="1:18" ht="26.25" customHeight="1">
      <c r="A9" s="419"/>
      <c r="B9" s="528" t="s">
        <v>1134</v>
      </c>
      <c r="C9" s="108" t="s">
        <v>561</v>
      </c>
      <c r="D9" s="225">
        <v>1</v>
      </c>
      <c r="E9" s="225">
        <v>12</v>
      </c>
      <c r="F9" s="225">
        <v>220</v>
      </c>
      <c r="G9" s="227">
        <v>29</v>
      </c>
      <c r="H9" s="52">
        <v>26</v>
      </c>
      <c r="I9" s="48">
        <v>82038</v>
      </c>
      <c r="J9" s="225" t="s">
        <v>570</v>
      </c>
      <c r="K9" s="225" t="s">
        <v>570</v>
      </c>
      <c r="L9" s="232" t="s">
        <v>570</v>
      </c>
      <c r="M9" s="216" t="s">
        <v>570</v>
      </c>
      <c r="N9" s="232" t="s">
        <v>570</v>
      </c>
      <c r="O9" s="216" t="s">
        <v>570</v>
      </c>
      <c r="P9" s="225">
        <v>3</v>
      </c>
      <c r="Q9" s="425" t="s">
        <v>570</v>
      </c>
      <c r="R9" s="216">
        <f>IF(SUM(J9,L9,N9,P9,Q9)=0,"-",SUM(J9,L9,N9,P9,Q9))</f>
        <v>3</v>
      </c>
    </row>
    <row r="10" spans="1:18" ht="16.5" customHeight="1">
      <c r="A10" s="419"/>
      <c r="B10" s="1313" t="s">
        <v>548</v>
      </c>
      <c r="C10" s="108" t="s">
        <v>1149</v>
      </c>
      <c r="D10" s="225">
        <v>1</v>
      </c>
      <c r="E10" s="225">
        <v>14</v>
      </c>
      <c r="F10" s="225">
        <v>227</v>
      </c>
      <c r="G10" s="227">
        <v>29</v>
      </c>
      <c r="H10" s="52">
        <v>28</v>
      </c>
      <c r="I10" s="48">
        <v>73981</v>
      </c>
      <c r="J10" s="225" t="s">
        <v>570</v>
      </c>
      <c r="K10" s="225" t="s">
        <v>570</v>
      </c>
      <c r="L10" s="232" t="s">
        <v>570</v>
      </c>
      <c r="M10" s="216" t="s">
        <v>570</v>
      </c>
      <c r="N10" s="232" t="s">
        <v>570</v>
      </c>
      <c r="O10" s="216" t="s">
        <v>570</v>
      </c>
      <c r="P10" s="225">
        <v>1</v>
      </c>
      <c r="Q10" s="425" t="s">
        <v>570</v>
      </c>
      <c r="R10" s="216">
        <f>IF(SUM(J10,L10,N10,P10,Q10)=0,"-",SUM(J10,L10,N10,P10,Q10))</f>
        <v>1</v>
      </c>
    </row>
    <row r="11" spans="1:18" ht="16.5" customHeight="1">
      <c r="A11" s="419"/>
      <c r="B11" s="1313"/>
      <c r="C11" s="108" t="s">
        <v>562</v>
      </c>
      <c r="D11" s="225" t="s">
        <v>570</v>
      </c>
      <c r="E11" s="225" t="s">
        <v>570</v>
      </c>
      <c r="F11" s="225" t="s">
        <v>570</v>
      </c>
      <c r="G11" s="227" t="s">
        <v>570</v>
      </c>
      <c r="H11" s="227" t="s">
        <v>570</v>
      </c>
      <c r="I11" s="48">
        <v>26205</v>
      </c>
      <c r="J11" s="225" t="s">
        <v>570</v>
      </c>
      <c r="K11" s="225" t="s">
        <v>570</v>
      </c>
      <c r="L11" s="232">
        <v>1</v>
      </c>
      <c r="M11" s="216">
        <v>25</v>
      </c>
      <c r="N11" s="232" t="s">
        <v>570</v>
      </c>
      <c r="O11" s="216" t="s">
        <v>570</v>
      </c>
      <c r="P11" s="225" t="s">
        <v>570</v>
      </c>
      <c r="Q11" s="425" t="s">
        <v>570</v>
      </c>
      <c r="R11" s="216">
        <f>SUM(J11,L11,N11,P11,Q11)</f>
        <v>1</v>
      </c>
    </row>
    <row r="12" spans="1:18" ht="16.5" customHeight="1">
      <c r="A12" s="419"/>
      <c r="B12" s="368" t="s">
        <v>549</v>
      </c>
      <c r="C12" s="108" t="s">
        <v>549</v>
      </c>
      <c r="D12" s="225">
        <v>1</v>
      </c>
      <c r="E12" s="225">
        <v>16</v>
      </c>
      <c r="F12" s="225">
        <v>234</v>
      </c>
      <c r="G12" s="227">
        <v>86</v>
      </c>
      <c r="H12" s="52">
        <v>79</v>
      </c>
      <c r="I12" s="48">
        <v>76492</v>
      </c>
      <c r="J12" s="225" t="s">
        <v>570</v>
      </c>
      <c r="K12" s="225" t="s">
        <v>570</v>
      </c>
      <c r="L12" s="232" t="s">
        <v>570</v>
      </c>
      <c r="M12" s="216" t="s">
        <v>570</v>
      </c>
      <c r="N12" s="232" t="s">
        <v>570</v>
      </c>
      <c r="O12" s="216" t="s">
        <v>570</v>
      </c>
      <c r="P12" s="225">
        <v>2</v>
      </c>
      <c r="Q12" s="425" t="s">
        <v>570</v>
      </c>
      <c r="R12" s="216">
        <f>SUM(J12,L12,N12,P12,Q12)</f>
        <v>2</v>
      </c>
    </row>
    <row r="13" spans="1:18" ht="16.5" customHeight="1">
      <c r="A13" s="419"/>
      <c r="B13" s="1322" t="s">
        <v>1137</v>
      </c>
      <c r="C13" s="1323" t="s">
        <v>550</v>
      </c>
      <c r="D13" s="1324">
        <v>1</v>
      </c>
      <c r="E13" s="1314">
        <v>16</v>
      </c>
      <c r="F13" s="1314">
        <v>296</v>
      </c>
      <c r="G13" s="1315">
        <v>103</v>
      </c>
      <c r="H13" s="1315">
        <v>98</v>
      </c>
      <c r="I13" s="1316">
        <v>91329</v>
      </c>
      <c r="J13" s="1314" t="s">
        <v>570</v>
      </c>
      <c r="K13" s="1314" t="s">
        <v>570</v>
      </c>
      <c r="L13" s="1324" t="s">
        <v>570</v>
      </c>
      <c r="M13" s="1314" t="s">
        <v>570</v>
      </c>
      <c r="N13" s="1324" t="s">
        <v>570</v>
      </c>
      <c r="O13" s="1314" t="s">
        <v>570</v>
      </c>
      <c r="P13" s="1324">
        <v>3</v>
      </c>
      <c r="Q13" s="1321" t="s">
        <v>570</v>
      </c>
      <c r="R13" s="1315">
        <f>SUM(J13,L13,N13,P13,Q13)</f>
        <v>3</v>
      </c>
    </row>
    <row r="14" spans="1:18" ht="16.5" customHeight="1">
      <c r="A14" s="419"/>
      <c r="B14" s="1313"/>
      <c r="C14" s="1323"/>
      <c r="D14" s="1324"/>
      <c r="E14" s="1314"/>
      <c r="F14" s="1314"/>
      <c r="G14" s="1315"/>
      <c r="H14" s="1315"/>
      <c r="I14" s="1316"/>
      <c r="J14" s="1314"/>
      <c r="K14" s="1314"/>
      <c r="L14" s="1324"/>
      <c r="M14" s="1314"/>
      <c r="N14" s="1324"/>
      <c r="O14" s="1314"/>
      <c r="P14" s="1324"/>
      <c r="Q14" s="1321"/>
      <c r="R14" s="1315"/>
    </row>
    <row r="15" spans="1:18" ht="16.5" customHeight="1">
      <c r="A15" s="419"/>
      <c r="B15" s="368" t="s">
        <v>1136</v>
      </c>
      <c r="C15" s="108" t="s">
        <v>563</v>
      </c>
      <c r="D15" s="225" t="s">
        <v>570</v>
      </c>
      <c r="E15" s="225" t="s">
        <v>570</v>
      </c>
      <c r="F15" s="225" t="s">
        <v>570</v>
      </c>
      <c r="G15" s="227" t="s">
        <v>570</v>
      </c>
      <c r="H15" s="227" t="s">
        <v>570</v>
      </c>
      <c r="I15" s="48">
        <v>10365</v>
      </c>
      <c r="J15" s="225" t="s">
        <v>570</v>
      </c>
      <c r="K15" s="225" t="s">
        <v>570</v>
      </c>
      <c r="L15" s="232">
        <v>1</v>
      </c>
      <c r="M15" s="216">
        <v>16</v>
      </c>
      <c r="N15" s="232" t="s">
        <v>570</v>
      </c>
      <c r="O15" s="216" t="s">
        <v>570</v>
      </c>
      <c r="P15" s="225" t="s">
        <v>570</v>
      </c>
      <c r="Q15" s="425" t="s">
        <v>570</v>
      </c>
      <c r="R15" s="216">
        <f>SUM(J15,L15,N15,P15,Q15)</f>
        <v>1</v>
      </c>
    </row>
    <row r="16" spans="1:18" ht="16.5" customHeight="1">
      <c r="A16" s="419"/>
      <c r="B16" s="528" t="s">
        <v>1135</v>
      </c>
      <c r="C16" s="108" t="s">
        <v>765</v>
      </c>
      <c r="D16" s="225" t="s">
        <v>570</v>
      </c>
      <c r="E16" s="225" t="s">
        <v>570</v>
      </c>
      <c r="F16" s="225" t="s">
        <v>570</v>
      </c>
      <c r="G16" s="227" t="s">
        <v>570</v>
      </c>
      <c r="H16" s="227" t="s">
        <v>570</v>
      </c>
      <c r="I16" s="48">
        <v>49895</v>
      </c>
      <c r="J16" s="225" t="s">
        <v>105</v>
      </c>
      <c r="K16" s="225">
        <v>14</v>
      </c>
      <c r="L16" s="232" t="s">
        <v>570</v>
      </c>
      <c r="M16" s="216" t="s">
        <v>570</v>
      </c>
      <c r="N16" s="232" t="s">
        <v>570</v>
      </c>
      <c r="O16" s="216" t="s">
        <v>570</v>
      </c>
      <c r="P16" s="225" t="s">
        <v>570</v>
      </c>
      <c r="Q16" s="425" t="s">
        <v>570</v>
      </c>
      <c r="R16" s="216" t="s">
        <v>105</v>
      </c>
    </row>
    <row r="17" spans="1:19" ht="16.5" customHeight="1">
      <c r="A17" s="266" t="s">
        <v>551</v>
      </c>
      <c r="B17" s="229">
        <v>3</v>
      </c>
      <c r="C17" s="424" t="s">
        <v>526</v>
      </c>
      <c r="D17" s="223">
        <f>SUM(D18:D21)</f>
        <v>3</v>
      </c>
      <c r="E17" s="223">
        <f t="shared" ref="E17:R17" si="2">SUM(E18:E21)</f>
        <v>22</v>
      </c>
      <c r="F17" s="223">
        <f t="shared" si="2"/>
        <v>368</v>
      </c>
      <c r="G17" s="229">
        <f t="shared" si="2"/>
        <v>171</v>
      </c>
      <c r="H17" s="229">
        <f t="shared" si="2"/>
        <v>160</v>
      </c>
      <c r="I17" s="211">
        <f t="shared" si="2"/>
        <v>122768</v>
      </c>
      <c r="J17" s="223" t="str">
        <f>IF(SUM(J18:J21)=0,"-",SUM(J18:J21))</f>
        <v>-</v>
      </c>
      <c r="K17" s="223" t="str">
        <f>IF(SUM(K18:K21)=0,"-",SUM(K18:K21))</f>
        <v>-</v>
      </c>
      <c r="L17" s="239">
        <f t="shared" si="2"/>
        <v>1</v>
      </c>
      <c r="M17" s="211">
        <f t="shared" si="2"/>
        <v>15</v>
      </c>
      <c r="N17" s="239" t="str">
        <f>IF(SUM(N18:N21)=0,"-",SUM(N18:N21))</f>
        <v>-</v>
      </c>
      <c r="O17" s="211" t="str">
        <f>IF(SUM(O18:O21)=0,"-",SUM(O18:O21))</f>
        <v>-</v>
      </c>
      <c r="P17" s="211">
        <f>IF(SUM(P18:P21)=0,"-",SUM(P18:P21))</f>
        <v>6</v>
      </c>
      <c r="Q17" s="229" t="str">
        <f>IF(SUM(Q18:Q21)=0,"-",SUM(Q18:Q21))</f>
        <v>-</v>
      </c>
      <c r="R17" s="211">
        <f t="shared" si="2"/>
        <v>7</v>
      </c>
    </row>
    <row r="18" spans="1:19" ht="16.5" customHeight="1">
      <c r="A18" s="419"/>
      <c r="B18" s="368" t="s">
        <v>552</v>
      </c>
      <c r="C18" s="108" t="s">
        <v>552</v>
      </c>
      <c r="D18" s="225">
        <v>1</v>
      </c>
      <c r="E18" s="225">
        <v>12</v>
      </c>
      <c r="F18" s="225">
        <v>196</v>
      </c>
      <c r="G18" s="227">
        <v>106</v>
      </c>
      <c r="H18" s="52">
        <v>100</v>
      </c>
      <c r="I18" s="48">
        <v>64310</v>
      </c>
      <c r="J18" s="225" t="s">
        <v>570</v>
      </c>
      <c r="K18" s="225" t="s">
        <v>570</v>
      </c>
      <c r="L18" s="232" t="s">
        <v>570</v>
      </c>
      <c r="M18" s="216" t="s">
        <v>570</v>
      </c>
      <c r="N18" s="232" t="s">
        <v>570</v>
      </c>
      <c r="O18" s="216" t="s">
        <v>570</v>
      </c>
      <c r="P18" s="225">
        <v>3</v>
      </c>
      <c r="Q18" s="425" t="s">
        <v>570</v>
      </c>
      <c r="R18" s="216">
        <f>IF(SUM(J18,L18,N18,P18,Q18)=0,"-",SUM(J18,L18,N18,P18,Q18))</f>
        <v>3</v>
      </c>
    </row>
    <row r="19" spans="1:19" ht="16.5" customHeight="1">
      <c r="A19" s="419"/>
      <c r="B19" s="718" t="s">
        <v>1139</v>
      </c>
      <c r="C19" s="108" t="s">
        <v>565</v>
      </c>
      <c r="D19" s="225" t="s">
        <v>570</v>
      </c>
      <c r="E19" s="225" t="s">
        <v>570</v>
      </c>
      <c r="F19" s="225" t="s">
        <v>570</v>
      </c>
      <c r="G19" s="227" t="s">
        <v>570</v>
      </c>
      <c r="H19" s="227" t="s">
        <v>570</v>
      </c>
      <c r="I19" s="48">
        <v>5933</v>
      </c>
      <c r="J19" s="225" t="s">
        <v>570</v>
      </c>
      <c r="K19" s="225" t="s">
        <v>570</v>
      </c>
      <c r="L19" s="232">
        <v>1</v>
      </c>
      <c r="M19" s="216">
        <v>15</v>
      </c>
      <c r="N19" s="232" t="s">
        <v>570</v>
      </c>
      <c r="O19" s="216" t="s">
        <v>570</v>
      </c>
      <c r="P19" s="225" t="s">
        <v>570</v>
      </c>
      <c r="Q19" s="425" t="s">
        <v>570</v>
      </c>
      <c r="R19" s="216">
        <f>SUM(J19,L19,N19,P19,Q19)</f>
        <v>1</v>
      </c>
    </row>
    <row r="20" spans="1:19" ht="16.5" customHeight="1">
      <c r="A20" s="420"/>
      <c r="B20" s="368" t="s">
        <v>553</v>
      </c>
      <c r="C20" s="108" t="s">
        <v>553</v>
      </c>
      <c r="D20" s="225">
        <v>1</v>
      </c>
      <c r="E20" s="225">
        <v>5</v>
      </c>
      <c r="F20" s="225">
        <v>81</v>
      </c>
      <c r="G20" s="227">
        <v>31</v>
      </c>
      <c r="H20" s="52">
        <v>27</v>
      </c>
      <c r="I20" s="48">
        <v>25251</v>
      </c>
      <c r="J20" s="225" t="s">
        <v>570</v>
      </c>
      <c r="K20" s="225" t="s">
        <v>570</v>
      </c>
      <c r="L20" s="232" t="s">
        <v>570</v>
      </c>
      <c r="M20" s="216" t="s">
        <v>570</v>
      </c>
      <c r="N20" s="232" t="s">
        <v>570</v>
      </c>
      <c r="O20" s="216" t="s">
        <v>570</v>
      </c>
      <c r="P20" s="225">
        <v>3</v>
      </c>
      <c r="Q20" s="425" t="s">
        <v>570</v>
      </c>
      <c r="R20" s="216">
        <f>IF(SUM(J20,L20,N20,P20,Q20)=0,"-",SUM(J20,L20,N20,P20,Q20))</f>
        <v>3</v>
      </c>
    </row>
    <row r="21" spans="1:19" ht="26.25" customHeight="1">
      <c r="A21" s="420"/>
      <c r="B21" s="528" t="s">
        <v>1138</v>
      </c>
      <c r="C21" s="108" t="s">
        <v>554</v>
      </c>
      <c r="D21" s="225">
        <v>1</v>
      </c>
      <c r="E21" s="225">
        <v>5</v>
      </c>
      <c r="F21" s="225">
        <v>91</v>
      </c>
      <c r="G21" s="227">
        <v>34</v>
      </c>
      <c r="H21" s="227">
        <v>33</v>
      </c>
      <c r="I21" s="48">
        <v>27274</v>
      </c>
      <c r="J21" s="225" t="s">
        <v>570</v>
      </c>
      <c r="K21" s="225" t="s">
        <v>570</v>
      </c>
      <c r="L21" s="232" t="s">
        <v>570</v>
      </c>
      <c r="M21" s="216" t="s">
        <v>570</v>
      </c>
      <c r="N21" s="232" t="s">
        <v>570</v>
      </c>
      <c r="O21" s="216" t="s">
        <v>570</v>
      </c>
      <c r="P21" s="225" t="s">
        <v>570</v>
      </c>
      <c r="Q21" s="425" t="s">
        <v>570</v>
      </c>
      <c r="R21" s="216" t="str">
        <f>IF(SUM(J21,L21,N21,P21,Q21)=0,"-",SUM(J21,L21,N21,P21,Q21))</f>
        <v>-</v>
      </c>
    </row>
    <row r="22" spans="1:19" ht="16.5" customHeight="1">
      <c r="A22" s="1348" t="s">
        <v>336</v>
      </c>
      <c r="B22" s="229">
        <v>8</v>
      </c>
      <c r="C22" s="424" t="s">
        <v>527</v>
      </c>
      <c r="D22" s="223">
        <f t="shared" ref="D22:I22" si="3">SUM(D23:D29)</f>
        <v>6</v>
      </c>
      <c r="E22" s="223">
        <f t="shared" si="3"/>
        <v>66</v>
      </c>
      <c r="F22" s="223">
        <f t="shared" si="3"/>
        <v>998</v>
      </c>
      <c r="G22" s="229">
        <f t="shared" si="3"/>
        <v>338</v>
      </c>
      <c r="H22" s="229">
        <f t="shared" si="3"/>
        <v>327</v>
      </c>
      <c r="I22" s="211">
        <f t="shared" si="3"/>
        <v>335253</v>
      </c>
      <c r="J22" s="223" t="str">
        <f>IF(SUM(J23:J29)=0,"-",SUM(J23:J29))</f>
        <v>-</v>
      </c>
      <c r="K22" s="223" t="str">
        <f>IF(SUM(K23:K29)=0,"-",SUM(K23:K29))</f>
        <v>-</v>
      </c>
      <c r="L22" s="239">
        <f>SUM(L23:L29)</f>
        <v>1</v>
      </c>
      <c r="M22" s="211">
        <f>SUM(M23:M29)</f>
        <v>20</v>
      </c>
      <c r="N22" s="239" t="str">
        <f>IF(SUM(N23:N29)=0,"-",SUM(N23:N29))</f>
        <v>-</v>
      </c>
      <c r="O22" s="211" t="str">
        <f>IF(SUM(O23:O29)=0,"-",SUM(O23:O29))</f>
        <v>-</v>
      </c>
      <c r="P22" s="223">
        <f>SUM(P23:P29)</f>
        <v>20</v>
      </c>
      <c r="Q22" s="229" t="str">
        <f>IF(SUM(Q23:Q29)=0,"-",SUM(Q23:Q29))</f>
        <v>-</v>
      </c>
      <c r="R22" s="211">
        <f>SUM(R23:R29)</f>
        <v>21</v>
      </c>
    </row>
    <row r="23" spans="1:19" ht="16.5" customHeight="1">
      <c r="A23" s="1349"/>
      <c r="B23" s="368" t="s">
        <v>555</v>
      </c>
      <c r="C23" s="108" t="s">
        <v>555</v>
      </c>
      <c r="D23" s="225">
        <v>1</v>
      </c>
      <c r="E23" s="225">
        <v>11</v>
      </c>
      <c r="F23" s="225">
        <v>144</v>
      </c>
      <c r="G23" s="227">
        <v>55</v>
      </c>
      <c r="H23" s="52">
        <v>53</v>
      </c>
      <c r="I23" s="48">
        <v>44997</v>
      </c>
      <c r="J23" s="225" t="s">
        <v>570</v>
      </c>
      <c r="K23" s="225" t="s">
        <v>570</v>
      </c>
      <c r="L23" s="232" t="s">
        <v>570</v>
      </c>
      <c r="M23" s="216" t="s">
        <v>570</v>
      </c>
      <c r="N23" s="232" t="s">
        <v>570</v>
      </c>
      <c r="O23" s="216" t="s">
        <v>570</v>
      </c>
      <c r="P23" s="225">
        <v>3</v>
      </c>
      <c r="Q23" s="425" t="s">
        <v>570</v>
      </c>
      <c r="R23" s="216">
        <f t="shared" ref="R23:R29" si="4">SUM(J23,L23,N23,P23,Q23)</f>
        <v>3</v>
      </c>
    </row>
    <row r="24" spans="1:19" ht="16.5" customHeight="1">
      <c r="A24" s="420"/>
      <c r="B24" s="368" t="s">
        <v>557</v>
      </c>
      <c r="C24" s="108" t="s">
        <v>557</v>
      </c>
      <c r="D24" s="225">
        <v>1</v>
      </c>
      <c r="E24" s="225">
        <v>12</v>
      </c>
      <c r="F24" s="225">
        <v>206</v>
      </c>
      <c r="G24" s="227">
        <v>63</v>
      </c>
      <c r="H24" s="52">
        <v>60</v>
      </c>
      <c r="I24" s="48">
        <v>65571</v>
      </c>
      <c r="J24" s="225" t="s">
        <v>570</v>
      </c>
      <c r="K24" s="225" t="s">
        <v>570</v>
      </c>
      <c r="L24" s="232" t="s">
        <v>570</v>
      </c>
      <c r="M24" s="216" t="s">
        <v>570</v>
      </c>
      <c r="N24" s="232" t="s">
        <v>570</v>
      </c>
      <c r="O24" s="216" t="s">
        <v>570</v>
      </c>
      <c r="P24" s="225">
        <v>4</v>
      </c>
      <c r="Q24" s="425" t="s">
        <v>570</v>
      </c>
      <c r="R24" s="216">
        <f t="shared" si="4"/>
        <v>4</v>
      </c>
    </row>
    <row r="25" spans="1:19" ht="28.5" customHeight="1">
      <c r="A25" s="420"/>
      <c r="B25" s="528" t="s">
        <v>1140</v>
      </c>
      <c r="C25" s="961" t="s">
        <v>560</v>
      </c>
      <c r="D25" s="225">
        <v>1</v>
      </c>
      <c r="E25" s="225">
        <v>10</v>
      </c>
      <c r="F25" s="225">
        <v>139</v>
      </c>
      <c r="G25" s="227">
        <v>50</v>
      </c>
      <c r="H25" s="52">
        <v>48</v>
      </c>
      <c r="I25" s="48">
        <v>44149</v>
      </c>
      <c r="J25" s="225" t="s">
        <v>570</v>
      </c>
      <c r="K25" s="225" t="s">
        <v>570</v>
      </c>
      <c r="L25" s="232" t="s">
        <v>570</v>
      </c>
      <c r="M25" s="216" t="s">
        <v>570</v>
      </c>
      <c r="N25" s="232" t="s">
        <v>570</v>
      </c>
      <c r="O25" s="216" t="s">
        <v>570</v>
      </c>
      <c r="P25" s="225">
        <v>2</v>
      </c>
      <c r="Q25" s="425" t="s">
        <v>570</v>
      </c>
      <c r="R25" s="216">
        <f>IF(SUM(J25,L25,N25,P25,Q25)=0,"-",SUM(J25,L25,N25,P25,Q25))</f>
        <v>2</v>
      </c>
    </row>
    <row r="26" spans="1:19" ht="27" customHeight="1">
      <c r="A26" s="420"/>
      <c r="B26" s="528" t="s">
        <v>1141</v>
      </c>
      <c r="C26" s="108" t="s">
        <v>566</v>
      </c>
      <c r="D26" s="225">
        <v>1</v>
      </c>
      <c r="E26" s="225">
        <v>11</v>
      </c>
      <c r="F26" s="225">
        <v>193</v>
      </c>
      <c r="G26" s="227">
        <v>43</v>
      </c>
      <c r="H26" s="52">
        <v>41</v>
      </c>
      <c r="I26" s="48">
        <v>62737</v>
      </c>
      <c r="J26" s="225" t="s">
        <v>570</v>
      </c>
      <c r="K26" s="225" t="s">
        <v>570</v>
      </c>
      <c r="L26" s="232" t="s">
        <v>570</v>
      </c>
      <c r="M26" s="216" t="s">
        <v>570</v>
      </c>
      <c r="N26" s="232" t="s">
        <v>570</v>
      </c>
      <c r="O26" s="216" t="s">
        <v>570</v>
      </c>
      <c r="P26" s="225">
        <v>4</v>
      </c>
      <c r="Q26" s="425" t="s">
        <v>570</v>
      </c>
      <c r="R26" s="216">
        <f t="shared" si="4"/>
        <v>4</v>
      </c>
    </row>
    <row r="27" spans="1:19" ht="16.5" customHeight="1">
      <c r="A27" s="420"/>
      <c r="B27" s="1313" t="s">
        <v>558</v>
      </c>
      <c r="C27" s="108" t="s">
        <v>567</v>
      </c>
      <c r="D27" s="225">
        <v>1</v>
      </c>
      <c r="E27" s="225">
        <v>11</v>
      </c>
      <c r="F27" s="225">
        <v>155</v>
      </c>
      <c r="G27" s="227">
        <v>48</v>
      </c>
      <c r="H27" s="52">
        <v>47</v>
      </c>
      <c r="I27" s="48">
        <v>50211</v>
      </c>
      <c r="J27" s="225" t="s">
        <v>570</v>
      </c>
      <c r="K27" s="225" t="s">
        <v>570</v>
      </c>
      <c r="L27" s="232" t="s">
        <v>570</v>
      </c>
      <c r="M27" s="216" t="s">
        <v>570</v>
      </c>
      <c r="N27" s="232" t="s">
        <v>570</v>
      </c>
      <c r="O27" s="216" t="s">
        <v>570</v>
      </c>
      <c r="P27" s="225">
        <v>5</v>
      </c>
      <c r="Q27" s="425" t="s">
        <v>570</v>
      </c>
      <c r="R27" s="216">
        <f t="shared" si="4"/>
        <v>5</v>
      </c>
    </row>
    <row r="28" spans="1:19" ht="16.5" customHeight="1">
      <c r="A28" s="420"/>
      <c r="B28" s="1313"/>
      <c r="C28" s="108" t="s">
        <v>568</v>
      </c>
      <c r="D28" s="225" t="s">
        <v>570</v>
      </c>
      <c r="E28" s="225" t="s">
        <v>570</v>
      </c>
      <c r="F28" s="225" t="s">
        <v>570</v>
      </c>
      <c r="G28" s="227" t="s">
        <v>570</v>
      </c>
      <c r="H28" s="227" t="s">
        <v>570</v>
      </c>
      <c r="I28" s="48">
        <v>15556</v>
      </c>
      <c r="J28" s="225" t="s">
        <v>570</v>
      </c>
      <c r="K28" s="225" t="s">
        <v>570</v>
      </c>
      <c r="L28" s="232">
        <v>1</v>
      </c>
      <c r="M28" s="216">
        <v>20</v>
      </c>
      <c r="N28" s="232" t="s">
        <v>570</v>
      </c>
      <c r="O28" s="216" t="s">
        <v>570</v>
      </c>
      <c r="P28" s="225" t="s">
        <v>570</v>
      </c>
      <c r="Q28" s="425" t="s">
        <v>570</v>
      </c>
      <c r="R28" s="216">
        <f t="shared" si="4"/>
        <v>1</v>
      </c>
    </row>
    <row r="29" spans="1:19" ht="16.5" customHeight="1">
      <c r="A29" s="420"/>
      <c r="B29" s="368" t="s">
        <v>559</v>
      </c>
      <c r="C29" s="108" t="s">
        <v>569</v>
      </c>
      <c r="D29" s="225">
        <v>1</v>
      </c>
      <c r="E29" s="225">
        <v>11</v>
      </c>
      <c r="F29" s="225">
        <v>161</v>
      </c>
      <c r="G29" s="227">
        <v>79</v>
      </c>
      <c r="H29" s="52">
        <v>78</v>
      </c>
      <c r="I29" s="48">
        <v>52032</v>
      </c>
      <c r="J29" s="587" t="s">
        <v>570</v>
      </c>
      <c r="K29" s="587" t="s">
        <v>570</v>
      </c>
      <c r="L29" s="232" t="s">
        <v>570</v>
      </c>
      <c r="M29" s="216" t="s">
        <v>570</v>
      </c>
      <c r="N29" s="232" t="s">
        <v>570</v>
      </c>
      <c r="O29" s="216" t="s">
        <v>570</v>
      </c>
      <c r="P29" s="225">
        <v>2</v>
      </c>
      <c r="Q29" s="425" t="s">
        <v>570</v>
      </c>
      <c r="R29" s="216">
        <f t="shared" si="4"/>
        <v>2</v>
      </c>
    </row>
    <row r="30" spans="1:19" ht="16.5" customHeight="1">
      <c r="A30" s="426" t="s">
        <v>1501</v>
      </c>
      <c r="B30" s="230">
        <f>SUM(B8,B17,B22)</f>
        <v>17</v>
      </c>
      <c r="C30" s="385" t="s">
        <v>528</v>
      </c>
      <c r="D30" s="165">
        <f t="shared" ref="D30:I30" si="5">SUM(D8,D17,D22)</f>
        <v>13</v>
      </c>
      <c r="E30" s="165">
        <f t="shared" si="5"/>
        <v>146</v>
      </c>
      <c r="F30" s="165">
        <f t="shared" si="5"/>
        <v>2343</v>
      </c>
      <c r="G30" s="230">
        <f t="shared" si="5"/>
        <v>756</v>
      </c>
      <c r="H30" s="230">
        <f t="shared" si="5"/>
        <v>718</v>
      </c>
      <c r="I30" s="166">
        <f t="shared" si="5"/>
        <v>868326</v>
      </c>
      <c r="J30" s="1138" t="s">
        <v>105</v>
      </c>
      <c r="K30" s="166">
        <f>IF(SUM(K8,K17,K22)=0,"-",SUM(K8,K17,K22))</f>
        <v>14</v>
      </c>
      <c r="L30" s="165">
        <f>SUM(L8,L17,L22)</f>
        <v>4</v>
      </c>
      <c r="M30" s="166">
        <f>SUM(M8,M17,M22)</f>
        <v>76</v>
      </c>
      <c r="N30" s="164" t="str">
        <f>IF(SUM(N8,N17,N22)=0,"-",SUM(N8,N17,N22))</f>
        <v>-</v>
      </c>
      <c r="O30" s="166" t="str">
        <f>IF(SUM(O8,O17,O22)=0,"-",SUM(O8,O17,O22))</f>
        <v>-</v>
      </c>
      <c r="P30" s="165">
        <f>SUM(P8,P17,P22)</f>
        <v>35</v>
      </c>
      <c r="Q30" s="230" t="str">
        <f>IF(SUM(Q8,Q17,Q22)=0,"-",SUM(Q8,Q17,Q22))</f>
        <v>-</v>
      </c>
      <c r="R30" s="166" t="str">
        <f>IF(SUM(L8,N8,P8,Q8,R17,R22)=0,"-",SUM(L8,N8,P8,Q8,R17,R22)) &amp; "+1(P)"</f>
        <v>39+1(P)</v>
      </c>
    </row>
    <row r="31" spans="1:19" ht="12.75" customHeight="1">
      <c r="A31" s="1339" t="s">
        <v>843</v>
      </c>
      <c r="B31" s="1339"/>
      <c r="C31" s="1339"/>
      <c r="D31" s="1339"/>
      <c r="E31" s="1339"/>
      <c r="F31" s="1339"/>
      <c r="G31" s="877" t="s">
        <v>885</v>
      </c>
      <c r="H31" s="421"/>
      <c r="J31" s="422"/>
      <c r="K31" s="500"/>
      <c r="M31" s="1169"/>
      <c r="N31" s="886" t="s">
        <v>80</v>
      </c>
      <c r="O31" s="500" t="s">
        <v>1282</v>
      </c>
      <c r="P31" s="1169"/>
      <c r="Q31" s="500"/>
      <c r="R31" s="1044"/>
      <c r="S31" s="62"/>
    </row>
    <row r="32" spans="1:19" ht="12" customHeight="1">
      <c r="A32" s="1340"/>
      <c r="B32" s="1340"/>
      <c r="C32" s="1340"/>
      <c r="D32" s="1340"/>
      <c r="E32" s="1340"/>
      <c r="F32" s="1340"/>
      <c r="G32" s="416"/>
      <c r="H32" s="416"/>
      <c r="I32" s="416"/>
      <c r="J32" s="416"/>
      <c r="K32" s="887"/>
      <c r="M32" s="1169"/>
      <c r="N32" s="886" t="s">
        <v>81</v>
      </c>
      <c r="O32" s="1341" t="s">
        <v>746</v>
      </c>
      <c r="P32" s="1341"/>
      <c r="Q32" s="1341"/>
      <c r="R32" s="1341"/>
    </row>
    <row r="33" spans="13:18" ht="12" customHeight="1">
      <c r="M33" s="877"/>
      <c r="N33" s="1045"/>
      <c r="O33" s="1341"/>
      <c r="P33" s="1341"/>
      <c r="Q33" s="1341"/>
      <c r="R33" s="1341"/>
    </row>
    <row r="39" spans="13:18">
      <c r="N39"/>
    </row>
  </sheetData>
  <mergeCells count="42">
    <mergeCell ref="A31:F32"/>
    <mergeCell ref="O32:R33"/>
    <mergeCell ref="D4:F4"/>
    <mergeCell ref="J4:R4"/>
    <mergeCell ref="D5:D6"/>
    <mergeCell ref="E5:E6"/>
    <mergeCell ref="F5:F6"/>
    <mergeCell ref="L5:M5"/>
    <mergeCell ref="H4:H5"/>
    <mergeCell ref="P13:P14"/>
    <mergeCell ref="A22:A23"/>
    <mergeCell ref="A4:A6"/>
    <mergeCell ref="N13:N14"/>
    <mergeCell ref="D13:D14"/>
    <mergeCell ref="K13:K14"/>
    <mergeCell ref="J13:J14"/>
    <mergeCell ref="B27:B28"/>
    <mergeCell ref="B13:B14"/>
    <mergeCell ref="C13:C14"/>
    <mergeCell ref="L13:L14"/>
    <mergeCell ref="A2:R2"/>
    <mergeCell ref="G3:J3"/>
    <mergeCell ref="Q5:Q6"/>
    <mergeCell ref="R5:R6"/>
    <mergeCell ref="G4:G5"/>
    <mergeCell ref="I4:I5"/>
    <mergeCell ref="P5:P6"/>
    <mergeCell ref="B4:B6"/>
    <mergeCell ref="C4:C6"/>
    <mergeCell ref="A1:R1"/>
    <mergeCell ref="B10:B11"/>
    <mergeCell ref="E13:E14"/>
    <mergeCell ref="F13:F14"/>
    <mergeCell ref="G13:G14"/>
    <mergeCell ref="H13:H14"/>
    <mergeCell ref="I13:I14"/>
    <mergeCell ref="R13:R14"/>
    <mergeCell ref="J5:K5"/>
    <mergeCell ref="N5:O5"/>
    <mergeCell ref="Q13:Q14"/>
    <mergeCell ref="M13:M14"/>
    <mergeCell ref="O13:O14"/>
  </mergeCells>
  <phoneticPr fontId="0" type="noConversion"/>
  <printOptions horizontalCentered="1"/>
  <pageMargins left="0.1" right="0.1" top="0.35" bottom="0.1" header="0.24" footer="0.1"/>
  <pageSetup paperSize="9" fitToWidth="95" orientation="landscape" blackAndWhite="1" r:id="rId1"/>
  <headerFooter alignWithMargins="0"/>
  <drawing r:id="rId2"/>
</worksheet>
</file>

<file path=xl/worksheets/sheet80.xml><?xml version="1.0" encoding="utf-8"?>
<worksheet xmlns="http://schemas.openxmlformats.org/spreadsheetml/2006/main" xmlns:r="http://schemas.openxmlformats.org/officeDocument/2006/relationships">
  <sheetPr codeName="Sheet86"/>
  <dimension ref="A1:I41"/>
  <sheetViews>
    <sheetView topLeftCell="A23" workbookViewId="0">
      <selection activeCell="J15" sqref="J15"/>
    </sheetView>
  </sheetViews>
  <sheetFormatPr defaultRowHeight="12.75"/>
  <cols>
    <col min="1" max="1" width="4.5703125" customWidth="1"/>
    <col min="2" max="2" width="24.140625" customWidth="1"/>
    <col min="3" max="4" width="18.140625" customWidth="1"/>
    <col min="5" max="5" width="21.7109375" customWidth="1"/>
  </cols>
  <sheetData>
    <row r="1" spans="1:5" ht="15" customHeight="1">
      <c r="A1" s="1524" t="s">
        <v>499</v>
      </c>
      <c r="B1" s="1524"/>
      <c r="C1" s="1524"/>
      <c r="D1" s="1524"/>
      <c r="E1" s="1524"/>
    </row>
    <row r="2" spans="1:5" ht="21" customHeight="1">
      <c r="A2" s="1862" t="str">
        <f>CONCATENATE("Commercial and Gramin Banks in the Blocks of ",District!$A$1," for the year " &amp; District!C2)</f>
        <v>Commercial and Gramin Banks in the Blocks of Jalpaiguri for the year 2013-14</v>
      </c>
      <c r="B2" s="1862"/>
      <c r="C2" s="1862"/>
      <c r="D2" s="1862"/>
      <c r="E2" s="1862"/>
    </row>
    <row r="3" spans="1:5" ht="18" customHeight="1">
      <c r="A3" s="1299" t="s">
        <v>79</v>
      </c>
      <c r="B3" s="1299" t="s">
        <v>1117</v>
      </c>
      <c r="C3" s="1445" t="s">
        <v>1487</v>
      </c>
      <c r="D3" s="1446"/>
      <c r="E3" s="1863" t="s">
        <v>1209</v>
      </c>
    </row>
    <row r="4" spans="1:5" ht="33.75" customHeight="1">
      <c r="A4" s="1302"/>
      <c r="B4" s="1302"/>
      <c r="C4" s="628" t="s">
        <v>1118</v>
      </c>
      <c r="D4" s="629" t="s">
        <v>1119</v>
      </c>
      <c r="E4" s="1864"/>
    </row>
    <row r="5" spans="1:5" ht="18.95" customHeight="1">
      <c r="A5" s="92" t="s">
        <v>278</v>
      </c>
      <c r="B5" s="57" t="s">
        <v>279</v>
      </c>
      <c r="C5" s="57" t="s">
        <v>280</v>
      </c>
      <c r="D5" s="57" t="s">
        <v>281</v>
      </c>
      <c r="E5" s="58" t="s">
        <v>282</v>
      </c>
    </row>
    <row r="6" spans="1:5" ht="21" customHeight="1">
      <c r="A6" s="255">
        <v>1</v>
      </c>
      <c r="B6" s="91" t="s">
        <v>561</v>
      </c>
      <c r="C6" s="31">
        <v>10</v>
      </c>
      <c r="D6" s="52">
        <v>5</v>
      </c>
      <c r="E6" s="48">
        <f>ROUND(VLOOKUP(B6,'2.2,2.3'!$A$5:$F$25,5,FALSE)/1000/SUM(C6,D6),0)</f>
        <v>25</v>
      </c>
    </row>
    <row r="7" spans="1:5" ht="21" customHeight="1">
      <c r="A7" s="255">
        <v>2</v>
      </c>
      <c r="B7" s="91" t="s">
        <v>1149</v>
      </c>
      <c r="C7" s="31">
        <v>21</v>
      </c>
      <c r="D7" s="52">
        <v>6</v>
      </c>
      <c r="E7" s="48">
        <f>ROUND(VLOOKUP(B7,'2.2,2.3'!$A$5:$F$25,5,FALSE)/1000/SUM(C7,D7),0)</f>
        <v>12</v>
      </c>
    </row>
    <row r="8" spans="1:5" ht="21" customHeight="1">
      <c r="A8" s="255">
        <v>3</v>
      </c>
      <c r="B8" s="91" t="s">
        <v>549</v>
      </c>
      <c r="C8" s="31">
        <v>9</v>
      </c>
      <c r="D8" s="227">
        <v>4</v>
      </c>
      <c r="E8" s="48">
        <f>ROUND(VLOOKUP(B8,'2.2,2.3'!$A$5:$F$25,5,FALSE)/1000/SUM(C8,D8),0)</f>
        <v>25</v>
      </c>
    </row>
    <row r="9" spans="1:5" ht="21" customHeight="1">
      <c r="A9" s="255">
        <v>4</v>
      </c>
      <c r="B9" s="91" t="s">
        <v>550</v>
      </c>
      <c r="C9" s="31">
        <v>10</v>
      </c>
      <c r="D9" s="52">
        <v>4</v>
      </c>
      <c r="E9" s="48">
        <f>ROUND(VLOOKUP(B9,'2.2,2.3'!$A$5:$F$25,5,FALSE)/1000/SUM(C9,D9),0)</f>
        <v>30</v>
      </c>
    </row>
    <row r="10" spans="1:5" ht="21" customHeight="1">
      <c r="A10" s="255">
        <v>5</v>
      </c>
      <c r="B10" s="91" t="s">
        <v>552</v>
      </c>
      <c r="C10" s="31">
        <v>8</v>
      </c>
      <c r="D10" s="52">
        <v>4</v>
      </c>
      <c r="E10" s="48">
        <f>ROUND(VLOOKUP(B10,'2.2,2.3'!$A$5:$F$25,5,FALSE)/1000/SUM(C10,D10),0)</f>
        <v>25</v>
      </c>
    </row>
    <row r="11" spans="1:5" ht="21" customHeight="1">
      <c r="A11" s="255">
        <v>6</v>
      </c>
      <c r="B11" s="91" t="s">
        <v>553</v>
      </c>
      <c r="C11" s="31">
        <v>3</v>
      </c>
      <c r="D11" s="52">
        <v>1</v>
      </c>
      <c r="E11" s="48">
        <f>ROUND(VLOOKUP(B11,'2.2,2.3'!$A$5:$F$25,5,FALSE)/1000/SUM(C11,D11),0)</f>
        <v>29</v>
      </c>
    </row>
    <row r="12" spans="1:5" ht="21" customHeight="1">
      <c r="A12" s="255">
        <v>7</v>
      </c>
      <c r="B12" s="91" t="s">
        <v>554</v>
      </c>
      <c r="C12" s="31">
        <v>4</v>
      </c>
      <c r="D12" s="52">
        <v>1</v>
      </c>
      <c r="E12" s="48">
        <f>ROUND(VLOOKUP(B12,'2.2,2.3'!$A$5:$F$25,5,FALSE)/1000/SUM(C12,D12),0)</f>
        <v>25</v>
      </c>
    </row>
    <row r="13" spans="1:5" ht="21" customHeight="1">
      <c r="A13" s="255">
        <v>8</v>
      </c>
      <c r="B13" s="91" t="s">
        <v>555</v>
      </c>
      <c r="C13" s="31">
        <v>6</v>
      </c>
      <c r="D13" s="52">
        <v>1</v>
      </c>
      <c r="E13" s="48">
        <f>ROUND(VLOOKUP(B13,'2.2,2.3'!$A$5:$F$25,5,FALSE)/1000/SUM(C13,D13),0)</f>
        <v>29</v>
      </c>
    </row>
    <row r="14" spans="1:5" ht="21" customHeight="1">
      <c r="A14" s="255">
        <v>9</v>
      </c>
      <c r="B14" s="91" t="s">
        <v>557</v>
      </c>
      <c r="C14" s="31">
        <v>9</v>
      </c>
      <c r="D14" s="52">
        <v>4</v>
      </c>
      <c r="E14" s="48">
        <f>ROUND(VLOOKUP(B14,'2.2,2.3'!$A$5:$F$25,5,FALSE)/1000/SUM(C14,D14),0)</f>
        <v>22</v>
      </c>
    </row>
    <row r="15" spans="1:5" ht="21" customHeight="1">
      <c r="A15" s="255">
        <v>10</v>
      </c>
      <c r="B15" s="91" t="s">
        <v>560</v>
      </c>
      <c r="C15" s="31">
        <v>5</v>
      </c>
      <c r="D15" s="52">
        <v>4</v>
      </c>
      <c r="E15" s="48">
        <f>ROUND(VLOOKUP(B15,'2.2,2.3'!$A$5:$F$25,5,FALSE)/1000/SUM(C15,D15),0)</f>
        <v>22</v>
      </c>
    </row>
    <row r="16" spans="1:5" ht="21" customHeight="1">
      <c r="A16" s="255">
        <v>11</v>
      </c>
      <c r="B16" s="91" t="s">
        <v>566</v>
      </c>
      <c r="C16" s="31">
        <v>7</v>
      </c>
      <c r="D16" s="52">
        <v>4</v>
      </c>
      <c r="E16" s="48">
        <f>ROUND(VLOOKUP(B16,'2.2,2.3'!$A$5:$F$25,5,FALSE)/1000/SUM(C16,D16),0)</f>
        <v>27</v>
      </c>
    </row>
    <row r="17" spans="1:9" ht="21" customHeight="1">
      <c r="A17" s="255">
        <v>12</v>
      </c>
      <c r="B17" s="91" t="s">
        <v>567</v>
      </c>
      <c r="C17" s="31">
        <v>7</v>
      </c>
      <c r="D17" s="52">
        <v>2</v>
      </c>
      <c r="E17" s="48">
        <f>ROUND(VLOOKUP(B17,'2.2,2.3'!$A$5:$F$25,5,FALSE)/1000/SUM(C17,D17),0)</f>
        <v>24</v>
      </c>
    </row>
    <row r="18" spans="1:9" ht="21" customHeight="1">
      <c r="A18" s="318">
        <v>13</v>
      </c>
      <c r="B18" s="275" t="s">
        <v>569</v>
      </c>
      <c r="C18" s="158">
        <v>9</v>
      </c>
      <c r="D18" s="155">
        <v>1</v>
      </c>
      <c r="E18" s="43">
        <f>ROUND(VLOOKUP(B18,'2.2,2.3'!$A$5:$F$25,5,FALSE)/1000/SUM(C18,D18),0)</f>
        <v>22</v>
      </c>
    </row>
    <row r="19" spans="1:9">
      <c r="A19" s="1189" t="s">
        <v>1210</v>
      </c>
      <c r="E19" s="875" t="s">
        <v>543</v>
      </c>
    </row>
    <row r="20" spans="1:9">
      <c r="E20" s="56"/>
    </row>
    <row r="21" spans="1:9">
      <c r="D21" s="55"/>
      <c r="E21" s="55"/>
    </row>
    <row r="22" spans="1:9" ht="14.25" customHeight="1">
      <c r="A22" s="1286" t="s">
        <v>500</v>
      </c>
      <c r="B22" s="1286"/>
      <c r="C22" s="1286"/>
      <c r="D22" s="1286"/>
      <c r="E22" s="1286"/>
    </row>
    <row r="23" spans="1:9" ht="24" customHeight="1">
      <c r="A23" s="1287" t="str">
        <f>CONCATENATE("Co-operative Societies in the Blocks of ",District!$A$1," for the year " &amp; District!C2)</f>
        <v>Co-operative Societies in the Blocks of Jalpaiguri for the year 2013-14</v>
      </c>
      <c r="B23" s="1287"/>
      <c r="C23" s="1287"/>
      <c r="D23" s="1287"/>
      <c r="E23" s="1287"/>
    </row>
    <row r="24" spans="1:9" ht="27.75" customHeight="1">
      <c r="A24" s="447" t="s">
        <v>1499</v>
      </c>
      <c r="B24" s="447" t="s">
        <v>38</v>
      </c>
      <c r="C24" s="656" t="s">
        <v>836</v>
      </c>
      <c r="D24" s="447" t="s">
        <v>804</v>
      </c>
      <c r="E24" s="447" t="s">
        <v>1046</v>
      </c>
    </row>
    <row r="25" spans="1:9" ht="18.95" customHeight="1">
      <c r="A25" s="57" t="s">
        <v>278</v>
      </c>
      <c r="B25" s="57" t="s">
        <v>279</v>
      </c>
      <c r="C25" s="87" t="s">
        <v>280</v>
      </c>
      <c r="D25" s="57" t="s">
        <v>281</v>
      </c>
      <c r="E25" s="57" t="s">
        <v>282</v>
      </c>
      <c r="I25" s="7"/>
    </row>
    <row r="26" spans="1:9" ht="19.5" customHeight="1">
      <c r="A26" s="310">
        <v>1</v>
      </c>
      <c r="B26" s="91" t="s">
        <v>561</v>
      </c>
      <c r="C26" s="181">
        <v>112</v>
      </c>
      <c r="D26" s="52">
        <v>18929</v>
      </c>
      <c r="E26" s="52">
        <v>95215</v>
      </c>
    </row>
    <row r="27" spans="1:9" ht="19.5" customHeight="1">
      <c r="A27" s="310">
        <v>2</v>
      </c>
      <c r="B27" s="91" t="s">
        <v>1149</v>
      </c>
      <c r="C27" s="181">
        <v>136</v>
      </c>
      <c r="D27" s="52">
        <v>21685</v>
      </c>
      <c r="E27" s="52">
        <v>156713</v>
      </c>
    </row>
    <row r="28" spans="1:9" ht="19.5" customHeight="1">
      <c r="A28" s="310">
        <v>3</v>
      </c>
      <c r="B28" s="91" t="s">
        <v>549</v>
      </c>
      <c r="C28" s="181">
        <v>94</v>
      </c>
      <c r="D28" s="52">
        <v>20662</v>
      </c>
      <c r="E28" s="52">
        <v>132922</v>
      </c>
    </row>
    <row r="29" spans="1:9" ht="19.5" customHeight="1">
      <c r="A29" s="310">
        <v>4</v>
      </c>
      <c r="B29" s="91" t="s">
        <v>732</v>
      </c>
      <c r="C29" s="181">
        <v>108</v>
      </c>
      <c r="D29" s="52">
        <v>24902</v>
      </c>
      <c r="E29" s="52">
        <v>209727</v>
      </c>
    </row>
    <row r="30" spans="1:9" ht="19.5" customHeight="1">
      <c r="A30" s="310">
        <v>5</v>
      </c>
      <c r="B30" s="91" t="s">
        <v>552</v>
      </c>
      <c r="C30" s="181">
        <v>45</v>
      </c>
      <c r="D30" s="52">
        <v>7079</v>
      </c>
      <c r="E30" s="52">
        <v>59465</v>
      </c>
    </row>
    <row r="31" spans="1:9" ht="19.5" customHeight="1">
      <c r="A31" s="310">
        <v>6</v>
      </c>
      <c r="B31" s="91" t="s">
        <v>553</v>
      </c>
      <c r="C31" s="181">
        <v>13</v>
      </c>
      <c r="D31" s="52">
        <v>3310</v>
      </c>
      <c r="E31" s="52">
        <v>21813</v>
      </c>
    </row>
    <row r="32" spans="1:9" ht="19.5" customHeight="1">
      <c r="A32" s="310">
        <v>7</v>
      </c>
      <c r="B32" s="91" t="s">
        <v>983</v>
      </c>
      <c r="C32" s="181">
        <v>24</v>
      </c>
      <c r="D32" s="52">
        <v>6628</v>
      </c>
      <c r="E32" s="52">
        <v>72512</v>
      </c>
    </row>
    <row r="33" spans="1:5" ht="19.5" customHeight="1">
      <c r="A33" s="310">
        <v>8</v>
      </c>
      <c r="B33" s="91" t="s">
        <v>555</v>
      </c>
      <c r="C33" s="31">
        <v>27</v>
      </c>
      <c r="D33" s="52">
        <v>5190</v>
      </c>
      <c r="E33" s="52">
        <v>31162</v>
      </c>
    </row>
    <row r="34" spans="1:5" ht="19.5" customHeight="1">
      <c r="A34" s="310">
        <v>9</v>
      </c>
      <c r="B34" s="91" t="s">
        <v>557</v>
      </c>
      <c r="C34" s="181">
        <v>50</v>
      </c>
      <c r="D34" s="52">
        <v>13938</v>
      </c>
      <c r="E34" s="52">
        <v>42127</v>
      </c>
    </row>
    <row r="35" spans="1:5" ht="19.5" customHeight="1">
      <c r="A35" s="310">
        <v>10</v>
      </c>
      <c r="B35" s="91" t="s">
        <v>560</v>
      </c>
      <c r="C35" s="181">
        <v>26</v>
      </c>
      <c r="D35" s="52">
        <v>4399</v>
      </c>
      <c r="E35" s="52">
        <v>9266</v>
      </c>
    </row>
    <row r="36" spans="1:5" ht="19.5" customHeight="1">
      <c r="A36" s="310">
        <v>11</v>
      </c>
      <c r="B36" s="91" t="s">
        <v>566</v>
      </c>
      <c r="C36" s="181">
        <v>26</v>
      </c>
      <c r="D36" s="52">
        <v>5600</v>
      </c>
      <c r="E36" s="52">
        <v>12582</v>
      </c>
    </row>
    <row r="37" spans="1:5" ht="19.5" customHeight="1">
      <c r="A37" s="310">
        <v>12</v>
      </c>
      <c r="B37" s="91" t="s">
        <v>567</v>
      </c>
      <c r="C37" s="181">
        <v>97</v>
      </c>
      <c r="D37" s="52">
        <v>17516</v>
      </c>
      <c r="E37" s="52">
        <v>58552</v>
      </c>
    </row>
    <row r="38" spans="1:5" ht="19.5" customHeight="1">
      <c r="A38" s="319">
        <v>13</v>
      </c>
      <c r="B38" s="275" t="s">
        <v>569</v>
      </c>
      <c r="C38" s="158">
        <v>53</v>
      </c>
      <c r="D38" s="155">
        <v>11840</v>
      </c>
      <c r="E38" s="155">
        <v>22402</v>
      </c>
    </row>
    <row r="39" spans="1:5">
      <c r="A39" s="6"/>
      <c r="D39" s="63"/>
      <c r="E39" s="875" t="s">
        <v>659</v>
      </c>
    </row>
    <row r="40" spans="1:5">
      <c r="C40" s="63"/>
      <c r="D40" s="63"/>
      <c r="E40" s="63"/>
    </row>
    <row r="41" spans="1:5">
      <c r="B41" s="6"/>
    </row>
  </sheetData>
  <mergeCells count="8">
    <mergeCell ref="A1:E1"/>
    <mergeCell ref="A22:E22"/>
    <mergeCell ref="A2:E2"/>
    <mergeCell ref="C3:D3"/>
    <mergeCell ref="A23:E23"/>
    <mergeCell ref="E3:E4"/>
    <mergeCell ref="B3:B4"/>
    <mergeCell ref="A3:A4"/>
  </mergeCells>
  <phoneticPr fontId="0" type="noConversion"/>
  <printOptions horizontalCentered="1"/>
  <pageMargins left="0.1" right="0.1" top="0.63" bottom="0.1" header="0.5" footer="0.1"/>
  <pageSetup paperSize="9" orientation="portrait" blackAndWhite="1" r:id="rId1"/>
  <headerFooter alignWithMargins="0"/>
</worksheet>
</file>

<file path=xl/worksheets/sheet81.xml><?xml version="1.0" encoding="utf-8"?>
<worksheet xmlns="http://schemas.openxmlformats.org/spreadsheetml/2006/main" xmlns:r="http://schemas.openxmlformats.org/officeDocument/2006/relationships">
  <sheetPr codeName="Sheet87"/>
  <dimension ref="A1:J52"/>
  <sheetViews>
    <sheetView workbookViewId="0">
      <selection activeCell="J15" sqref="J15"/>
    </sheetView>
  </sheetViews>
  <sheetFormatPr defaultRowHeight="12.75"/>
  <cols>
    <col min="1" max="1" width="6.28515625" customWidth="1"/>
    <col min="2" max="2" width="19.7109375" customWidth="1"/>
    <col min="3" max="3" width="10.5703125" customWidth="1"/>
    <col min="4" max="4" width="12" customWidth="1"/>
    <col min="5" max="5" width="9.42578125" customWidth="1"/>
    <col min="6" max="6" width="11.7109375" customWidth="1"/>
    <col min="7" max="7" width="9.85546875" customWidth="1"/>
    <col min="8" max="8" width="11.42578125" customWidth="1"/>
    <col min="9" max="9" width="10" customWidth="1"/>
    <col min="10" max="10" width="10.85546875" customWidth="1"/>
  </cols>
  <sheetData>
    <row r="1" spans="1:10" ht="18.75" customHeight="1">
      <c r="A1" s="1286" t="s">
        <v>501</v>
      </c>
      <c r="B1" s="1286"/>
      <c r="C1" s="1286"/>
      <c r="D1" s="1286"/>
      <c r="E1" s="1286"/>
      <c r="F1" s="1286"/>
      <c r="G1" s="1286"/>
      <c r="H1" s="1286"/>
      <c r="I1" s="1286"/>
      <c r="J1" s="1286"/>
    </row>
    <row r="2" spans="1:10" ht="36.75" customHeight="1">
      <c r="A2" s="1437" t="str">
        <f>CONCATENATE("Length of Roads maintained by different agencies in the Blocks of ",District!$A$1," 
for the year " &amp; District!C2)</f>
        <v>Length of Roads maintained by different agencies in the Blocks of Jalpaiguri 
for the year 2013-14</v>
      </c>
      <c r="B2" s="1437"/>
      <c r="C2" s="1437"/>
      <c r="D2" s="1437"/>
      <c r="E2" s="1437"/>
      <c r="F2" s="1437"/>
      <c r="G2" s="1437"/>
      <c r="H2" s="1437"/>
      <c r="I2" s="1437"/>
      <c r="J2" s="1437"/>
    </row>
    <row r="3" spans="1:10" ht="12" customHeight="1">
      <c r="A3" s="359"/>
      <c r="B3" s="405"/>
      <c r="C3" s="359"/>
      <c r="D3" s="359"/>
      <c r="E3" s="359"/>
      <c r="F3" s="359"/>
      <c r="G3" s="359"/>
      <c r="J3" s="1056" t="s">
        <v>1374</v>
      </c>
    </row>
    <row r="4" spans="1:10" ht="31.5" customHeight="1">
      <c r="A4" s="1299" t="s">
        <v>1499</v>
      </c>
      <c r="B4" s="1299" t="s">
        <v>38</v>
      </c>
      <c r="C4" s="1800" t="s">
        <v>1375</v>
      </c>
      <c r="D4" s="1790"/>
      <c r="E4" s="1433" t="s">
        <v>1120</v>
      </c>
      <c r="F4" s="1433"/>
      <c r="G4" s="1438" t="s">
        <v>1377</v>
      </c>
      <c r="H4" s="1846"/>
      <c r="I4" s="1865" t="s">
        <v>1406</v>
      </c>
      <c r="J4" s="1865"/>
    </row>
    <row r="5" spans="1:10" ht="16.5" customHeight="1">
      <c r="A5" s="1302"/>
      <c r="B5" s="1302"/>
      <c r="C5" s="362" t="s">
        <v>240</v>
      </c>
      <c r="D5" s="637" t="s">
        <v>1491</v>
      </c>
      <c r="E5" s="636" t="s">
        <v>240</v>
      </c>
      <c r="F5" s="636" t="s">
        <v>1491</v>
      </c>
      <c r="G5" s="362" t="s">
        <v>240</v>
      </c>
      <c r="H5" s="637" t="s">
        <v>1491</v>
      </c>
      <c r="I5" s="362" t="s">
        <v>240</v>
      </c>
      <c r="J5" s="637" t="s">
        <v>1491</v>
      </c>
    </row>
    <row r="6" spans="1:10" ht="18" customHeight="1">
      <c r="A6" s="57" t="s">
        <v>278</v>
      </c>
      <c r="B6" s="87" t="s">
        <v>279</v>
      </c>
      <c r="C6" s="92" t="s">
        <v>280</v>
      </c>
      <c r="D6" s="58" t="s">
        <v>281</v>
      </c>
      <c r="E6" s="87" t="s">
        <v>282</v>
      </c>
      <c r="F6" s="87" t="s">
        <v>283</v>
      </c>
      <c r="G6" s="92" t="s">
        <v>284</v>
      </c>
      <c r="H6" s="58" t="s">
        <v>301</v>
      </c>
      <c r="I6" s="74" t="s">
        <v>302</v>
      </c>
      <c r="J6" s="61" t="s">
        <v>303</v>
      </c>
    </row>
    <row r="7" spans="1:10" ht="21" customHeight="1">
      <c r="A7" s="91">
        <v>1</v>
      </c>
      <c r="B7" s="316" t="s">
        <v>561</v>
      </c>
      <c r="C7" s="167">
        <v>60.9</v>
      </c>
      <c r="D7" s="168" t="s">
        <v>570</v>
      </c>
      <c r="E7" s="269">
        <v>121.64</v>
      </c>
      <c r="F7" s="269">
        <v>15.99</v>
      </c>
      <c r="G7" s="167">
        <v>166.25</v>
      </c>
      <c r="H7" s="168">
        <v>299.94</v>
      </c>
      <c r="I7" s="169">
        <v>71.55</v>
      </c>
      <c r="J7" s="688" t="s">
        <v>570</v>
      </c>
    </row>
    <row r="8" spans="1:10" ht="21" customHeight="1">
      <c r="A8" s="91">
        <v>2</v>
      </c>
      <c r="B8" s="316" t="s">
        <v>1149</v>
      </c>
      <c r="C8" s="167">
        <v>142.69999999999999</v>
      </c>
      <c r="D8" s="168" t="s">
        <v>570</v>
      </c>
      <c r="E8" s="269">
        <v>106.03</v>
      </c>
      <c r="F8" s="269">
        <v>70.28</v>
      </c>
      <c r="G8" s="167">
        <v>114.86</v>
      </c>
      <c r="H8" s="168">
        <v>189.25</v>
      </c>
      <c r="I8" s="167">
        <v>50</v>
      </c>
      <c r="J8" s="688" t="s">
        <v>570</v>
      </c>
    </row>
    <row r="9" spans="1:10" ht="21" customHeight="1">
      <c r="A9" s="91">
        <v>3</v>
      </c>
      <c r="B9" s="316" t="s">
        <v>549</v>
      </c>
      <c r="C9" s="167">
        <v>107.23</v>
      </c>
      <c r="D9" s="168" t="s">
        <v>570</v>
      </c>
      <c r="E9" s="269">
        <v>165.21</v>
      </c>
      <c r="F9" s="269">
        <v>59.18</v>
      </c>
      <c r="G9" s="167">
        <v>67.36</v>
      </c>
      <c r="H9" s="168">
        <v>157.5</v>
      </c>
      <c r="I9" s="169">
        <v>113.21</v>
      </c>
      <c r="J9" s="688" t="s">
        <v>570</v>
      </c>
    </row>
    <row r="10" spans="1:10" ht="21" customHeight="1">
      <c r="A10" s="91">
        <v>4</v>
      </c>
      <c r="B10" s="316" t="s">
        <v>732</v>
      </c>
      <c r="C10" s="167">
        <v>97.18</v>
      </c>
      <c r="D10" s="168" t="s">
        <v>570</v>
      </c>
      <c r="E10" s="269">
        <v>154.76</v>
      </c>
      <c r="F10" s="269">
        <v>63.95</v>
      </c>
      <c r="G10" s="167">
        <v>89.8</v>
      </c>
      <c r="H10" s="168">
        <v>395.29</v>
      </c>
      <c r="I10" s="167">
        <v>80.34</v>
      </c>
      <c r="J10" s="688" t="s">
        <v>570</v>
      </c>
    </row>
    <row r="11" spans="1:10" ht="21" customHeight="1">
      <c r="A11" s="91">
        <v>5</v>
      </c>
      <c r="B11" s="316" t="s">
        <v>552</v>
      </c>
      <c r="C11" s="167">
        <v>45.4</v>
      </c>
      <c r="D11" s="168" t="s">
        <v>570</v>
      </c>
      <c r="E11" s="269">
        <v>174.17</v>
      </c>
      <c r="F11" s="269">
        <v>69.84</v>
      </c>
      <c r="G11" s="167">
        <v>116.9</v>
      </c>
      <c r="H11" s="168">
        <v>262.86</v>
      </c>
      <c r="I11" s="169">
        <v>80.42</v>
      </c>
      <c r="J11" s="688" t="s">
        <v>570</v>
      </c>
    </row>
    <row r="12" spans="1:10" ht="21" customHeight="1">
      <c r="A12" s="91">
        <v>6</v>
      </c>
      <c r="B12" s="316" t="s">
        <v>553</v>
      </c>
      <c r="C12" s="167">
        <v>8</v>
      </c>
      <c r="D12" s="168" t="s">
        <v>570</v>
      </c>
      <c r="E12" s="269">
        <v>55.84</v>
      </c>
      <c r="F12" s="269">
        <v>37.68</v>
      </c>
      <c r="G12" s="167">
        <v>114.35</v>
      </c>
      <c r="H12" s="168">
        <v>146.9</v>
      </c>
      <c r="I12" s="169">
        <v>57.28</v>
      </c>
      <c r="J12" s="688" t="s">
        <v>570</v>
      </c>
    </row>
    <row r="13" spans="1:10" ht="21" customHeight="1">
      <c r="A13" s="91">
        <v>7</v>
      </c>
      <c r="B13" s="316" t="s">
        <v>554</v>
      </c>
      <c r="C13" s="167">
        <v>62.63</v>
      </c>
      <c r="D13" s="168" t="s">
        <v>570</v>
      </c>
      <c r="E13" s="269">
        <v>71.739999999999995</v>
      </c>
      <c r="F13" s="269">
        <v>48.78</v>
      </c>
      <c r="G13" s="167">
        <v>42.27</v>
      </c>
      <c r="H13" s="168">
        <v>38.54</v>
      </c>
      <c r="I13" s="169">
        <v>28.44</v>
      </c>
      <c r="J13" s="688" t="s">
        <v>570</v>
      </c>
    </row>
    <row r="14" spans="1:10" ht="21" customHeight="1">
      <c r="A14" s="91">
        <v>8</v>
      </c>
      <c r="B14" s="316" t="s">
        <v>555</v>
      </c>
      <c r="C14" s="167">
        <v>95.14</v>
      </c>
      <c r="D14" s="168" t="s">
        <v>570</v>
      </c>
      <c r="E14" s="269">
        <v>99.88</v>
      </c>
      <c r="F14" s="269">
        <v>33.159999999999997</v>
      </c>
      <c r="G14" s="167">
        <v>126.13</v>
      </c>
      <c r="H14" s="168">
        <v>236.46</v>
      </c>
      <c r="I14" s="169">
        <v>58.99</v>
      </c>
      <c r="J14" s="688" t="s">
        <v>570</v>
      </c>
    </row>
    <row r="15" spans="1:10" ht="21" customHeight="1">
      <c r="A15" s="91">
        <v>9</v>
      </c>
      <c r="B15" s="316" t="s">
        <v>557</v>
      </c>
      <c r="C15" s="167">
        <v>32.159999999999997</v>
      </c>
      <c r="D15" s="168" t="s">
        <v>570</v>
      </c>
      <c r="E15" s="269">
        <v>123</v>
      </c>
      <c r="F15" s="269">
        <v>55.25</v>
      </c>
      <c r="G15" s="167">
        <v>100.59</v>
      </c>
      <c r="H15" s="168">
        <v>153.38999999999999</v>
      </c>
      <c r="I15" s="169">
        <v>64.819999999999993</v>
      </c>
      <c r="J15" s="688" t="s">
        <v>570</v>
      </c>
    </row>
    <row r="16" spans="1:10" ht="21" customHeight="1">
      <c r="A16" s="91">
        <v>10</v>
      </c>
      <c r="B16" s="339" t="s">
        <v>560</v>
      </c>
      <c r="C16" s="167">
        <v>49.6</v>
      </c>
      <c r="D16" s="168" t="s">
        <v>570</v>
      </c>
      <c r="E16" s="269">
        <v>84.89</v>
      </c>
      <c r="F16" s="269">
        <v>65.22</v>
      </c>
      <c r="G16" s="167">
        <v>146.05000000000001</v>
      </c>
      <c r="H16" s="168">
        <v>143.65</v>
      </c>
      <c r="I16" s="169">
        <v>26.69</v>
      </c>
      <c r="J16" s="688" t="s">
        <v>570</v>
      </c>
    </row>
    <row r="17" spans="1:10" ht="21" customHeight="1">
      <c r="A17" s="91">
        <v>11</v>
      </c>
      <c r="B17" s="316" t="s">
        <v>566</v>
      </c>
      <c r="C17" s="167">
        <v>48</v>
      </c>
      <c r="D17" s="168" t="s">
        <v>570</v>
      </c>
      <c r="E17" s="269">
        <v>96.33</v>
      </c>
      <c r="F17" s="269">
        <v>81.760000000000005</v>
      </c>
      <c r="G17" s="167">
        <v>96.02</v>
      </c>
      <c r="H17" s="168">
        <v>135.65</v>
      </c>
      <c r="I17" s="167">
        <v>52.24</v>
      </c>
      <c r="J17" s="688" t="s">
        <v>570</v>
      </c>
    </row>
    <row r="18" spans="1:10" ht="21" customHeight="1">
      <c r="A18" s="91">
        <v>12</v>
      </c>
      <c r="B18" s="316" t="s">
        <v>567</v>
      </c>
      <c r="C18" s="167">
        <v>133.07</v>
      </c>
      <c r="D18" s="168" t="s">
        <v>570</v>
      </c>
      <c r="E18" s="269">
        <v>92.18</v>
      </c>
      <c r="F18" s="269">
        <v>50.08</v>
      </c>
      <c r="G18" s="167">
        <v>88.3</v>
      </c>
      <c r="H18" s="168">
        <v>341.67</v>
      </c>
      <c r="I18" s="169">
        <v>83.05</v>
      </c>
      <c r="J18" s="688" t="s">
        <v>570</v>
      </c>
    </row>
    <row r="19" spans="1:10" ht="21" customHeight="1">
      <c r="A19" s="275">
        <v>13</v>
      </c>
      <c r="B19" s="317" t="s">
        <v>569</v>
      </c>
      <c r="C19" s="271">
        <v>40.1</v>
      </c>
      <c r="D19" s="273" t="s">
        <v>570</v>
      </c>
      <c r="E19" s="272">
        <v>110.5</v>
      </c>
      <c r="F19" s="272">
        <v>35.36</v>
      </c>
      <c r="G19" s="271">
        <v>63.05</v>
      </c>
      <c r="H19" s="273">
        <v>302.7</v>
      </c>
      <c r="I19" s="1221">
        <v>52.7</v>
      </c>
      <c r="J19" s="692" t="s">
        <v>570</v>
      </c>
    </row>
    <row r="20" spans="1:10" ht="12" customHeight="1">
      <c r="A20" s="359"/>
      <c r="B20" s="359"/>
      <c r="C20" s="383"/>
      <c r="D20" s="359"/>
      <c r="E20" s="359"/>
      <c r="F20" s="408"/>
      <c r="G20" s="935" t="s">
        <v>80</v>
      </c>
      <c r="H20" s="947" t="s">
        <v>837</v>
      </c>
      <c r="I20" s="878"/>
    </row>
    <row r="21" spans="1:10" ht="12" customHeight="1">
      <c r="A21" s="625"/>
      <c r="B21" s="359"/>
      <c r="C21" s="383"/>
      <c r="D21" s="359"/>
      <c r="E21" s="624"/>
      <c r="G21" s="935" t="s">
        <v>81</v>
      </c>
      <c r="H21" s="947" t="s">
        <v>1321</v>
      </c>
      <c r="I21" s="878"/>
    </row>
    <row r="22" spans="1:10" ht="12" customHeight="1">
      <c r="F22" s="515"/>
      <c r="G22" s="935" t="s">
        <v>82</v>
      </c>
      <c r="H22" s="948" t="s">
        <v>1322</v>
      </c>
      <c r="I22" s="878"/>
    </row>
    <row r="23" spans="1:10" ht="12" customHeight="1">
      <c r="G23" s="947"/>
      <c r="H23" s="871" t="s">
        <v>1149</v>
      </c>
      <c r="I23" s="878"/>
    </row>
    <row r="52" spans="7:7">
      <c r="G52" s="170"/>
    </row>
  </sheetData>
  <mergeCells count="8">
    <mergeCell ref="A1:J1"/>
    <mergeCell ref="A2:J2"/>
    <mergeCell ref="B4:B5"/>
    <mergeCell ref="G4:H4"/>
    <mergeCell ref="E4:F4"/>
    <mergeCell ref="C4:D4"/>
    <mergeCell ref="A4:A5"/>
    <mergeCell ref="I4:J4"/>
  </mergeCells>
  <phoneticPr fontId="0" type="noConversion"/>
  <printOptions horizontalCentered="1"/>
  <pageMargins left="0" right="0" top="0.81" bottom="0.1" header="0.78" footer="0.1"/>
  <pageSetup paperSize="9" orientation="landscape" blackAndWhite="1" r:id="rId1"/>
  <headerFooter alignWithMargins="0"/>
</worksheet>
</file>

<file path=xl/worksheets/sheet82.xml><?xml version="1.0" encoding="utf-8"?>
<worksheet xmlns="http://schemas.openxmlformats.org/spreadsheetml/2006/main" xmlns:r="http://schemas.openxmlformats.org/officeDocument/2006/relationships">
  <sheetPr codeName="Sheet88"/>
  <dimension ref="A1:E21"/>
  <sheetViews>
    <sheetView workbookViewId="0">
      <selection activeCell="J15" sqref="J15"/>
    </sheetView>
  </sheetViews>
  <sheetFormatPr defaultRowHeight="12.75"/>
  <cols>
    <col min="1" max="1" width="7.7109375" customWidth="1"/>
    <col min="2" max="2" width="23.140625" customWidth="1"/>
    <col min="3" max="3" width="16.5703125" customWidth="1"/>
    <col min="4" max="4" width="23.7109375" customWidth="1"/>
    <col min="5" max="5" width="30.28515625" customWidth="1"/>
  </cols>
  <sheetData>
    <row r="1" spans="1:5" ht="18.75" customHeight="1">
      <c r="A1" s="1361" t="s">
        <v>502</v>
      </c>
      <c r="B1" s="1361"/>
      <c r="C1" s="1361"/>
      <c r="D1" s="1361"/>
      <c r="E1" s="1361"/>
    </row>
    <row r="2" spans="1:5" ht="20.25" customHeight="1">
      <c r="A2" s="1354" t="str">
        <f>CONCATENATE("Transport Facilities in the Blocks of ",District!$A$1,"  for the year " &amp; District!C2)</f>
        <v>Transport Facilities in the Blocks of Jalpaiguri  for the year 2013-14</v>
      </c>
      <c r="B2" s="1354"/>
      <c r="C2" s="1354"/>
      <c r="D2" s="1354"/>
      <c r="E2" s="1354"/>
    </row>
    <row r="3" spans="1:5" ht="36.75" customHeight="1">
      <c r="A3" s="373" t="s">
        <v>79</v>
      </c>
      <c r="B3" s="638" t="s">
        <v>38</v>
      </c>
      <c r="C3" s="642" t="s">
        <v>1165</v>
      </c>
      <c r="D3" s="642" t="s">
        <v>584</v>
      </c>
      <c r="E3" s="373" t="s">
        <v>192</v>
      </c>
    </row>
    <row r="4" spans="1:5" ht="17.25" customHeight="1">
      <c r="A4" s="57" t="s">
        <v>278</v>
      </c>
      <c r="B4" s="57" t="s">
        <v>279</v>
      </c>
      <c r="C4" s="87" t="s">
        <v>280</v>
      </c>
      <c r="D4" s="92" t="s">
        <v>281</v>
      </c>
      <c r="E4" s="57" t="s">
        <v>282</v>
      </c>
    </row>
    <row r="5" spans="1:5" ht="24" customHeight="1">
      <c r="A5" s="298">
        <v>1</v>
      </c>
      <c r="B5" s="91" t="s">
        <v>984</v>
      </c>
      <c r="C5" s="31">
        <v>1</v>
      </c>
      <c r="D5" s="169">
        <v>5</v>
      </c>
      <c r="E5" s="52">
        <v>8</v>
      </c>
    </row>
    <row r="6" spans="1:5" ht="24" customHeight="1">
      <c r="A6" s="298">
        <v>2</v>
      </c>
      <c r="B6" s="91" t="s">
        <v>1149</v>
      </c>
      <c r="C6" s="31">
        <v>4</v>
      </c>
      <c r="D6" s="169">
        <v>8</v>
      </c>
      <c r="E6" s="52">
        <v>2</v>
      </c>
    </row>
    <row r="7" spans="1:5" ht="24" customHeight="1">
      <c r="A7" s="298">
        <v>3</v>
      </c>
      <c r="B7" s="91" t="s">
        <v>549</v>
      </c>
      <c r="C7" s="31">
        <v>1</v>
      </c>
      <c r="D7" s="169">
        <v>6</v>
      </c>
      <c r="E7" s="52">
        <v>4</v>
      </c>
    </row>
    <row r="8" spans="1:5" ht="24" customHeight="1">
      <c r="A8" s="298">
        <v>4</v>
      </c>
      <c r="B8" s="91" t="s">
        <v>985</v>
      </c>
      <c r="C8" s="31" t="s">
        <v>570</v>
      </c>
      <c r="D8" s="169">
        <v>7</v>
      </c>
      <c r="E8" s="52">
        <v>4</v>
      </c>
    </row>
    <row r="9" spans="1:5" ht="24" customHeight="1">
      <c r="A9" s="298">
        <v>5</v>
      </c>
      <c r="B9" s="91" t="s">
        <v>552</v>
      </c>
      <c r="C9" s="31">
        <v>6</v>
      </c>
      <c r="D9" s="169">
        <v>7</v>
      </c>
      <c r="E9" s="52">
        <v>1</v>
      </c>
    </row>
    <row r="10" spans="1:5" ht="24" customHeight="1">
      <c r="A10" s="298">
        <v>6</v>
      </c>
      <c r="B10" s="91" t="s">
        <v>553</v>
      </c>
      <c r="C10" s="31">
        <v>1</v>
      </c>
      <c r="D10" s="169">
        <v>4</v>
      </c>
      <c r="E10" s="52">
        <v>1</v>
      </c>
    </row>
    <row r="11" spans="1:5" ht="24" customHeight="1">
      <c r="A11" s="298">
        <v>7</v>
      </c>
      <c r="B11" s="91" t="s">
        <v>13</v>
      </c>
      <c r="C11" s="31" t="s">
        <v>570</v>
      </c>
      <c r="D11" s="169">
        <v>6</v>
      </c>
      <c r="E11" s="52">
        <v>1</v>
      </c>
    </row>
    <row r="12" spans="1:5" ht="24" customHeight="1">
      <c r="A12" s="298">
        <v>8</v>
      </c>
      <c r="B12" s="91" t="s">
        <v>555</v>
      </c>
      <c r="C12" s="31">
        <v>8</v>
      </c>
      <c r="D12" s="169">
        <v>4</v>
      </c>
      <c r="E12" s="52">
        <v>18</v>
      </c>
    </row>
    <row r="13" spans="1:5" ht="24" customHeight="1">
      <c r="A13" s="298">
        <v>9</v>
      </c>
      <c r="B13" s="91" t="s">
        <v>557</v>
      </c>
      <c r="C13" s="31" t="s">
        <v>570</v>
      </c>
      <c r="D13" s="169">
        <v>7</v>
      </c>
      <c r="E13" s="52">
        <v>3</v>
      </c>
    </row>
    <row r="14" spans="1:5" ht="24" customHeight="1">
      <c r="A14" s="298">
        <v>10</v>
      </c>
      <c r="B14" s="522" t="s">
        <v>560</v>
      </c>
      <c r="C14" s="31" t="s">
        <v>570</v>
      </c>
      <c r="D14" s="169">
        <v>7</v>
      </c>
      <c r="E14" s="52">
        <v>1</v>
      </c>
    </row>
    <row r="15" spans="1:5" ht="24" customHeight="1">
      <c r="A15" s="298">
        <v>11</v>
      </c>
      <c r="B15" s="91" t="s">
        <v>566</v>
      </c>
      <c r="C15" s="31" t="s">
        <v>570</v>
      </c>
      <c r="D15" s="169">
        <v>9</v>
      </c>
      <c r="E15" s="517" t="s">
        <v>570</v>
      </c>
    </row>
    <row r="16" spans="1:5" ht="24" customHeight="1">
      <c r="A16" s="298">
        <v>12</v>
      </c>
      <c r="B16" s="91" t="s">
        <v>567</v>
      </c>
      <c r="C16" s="31">
        <v>8</v>
      </c>
      <c r="D16" s="169">
        <v>3</v>
      </c>
      <c r="E16" s="52">
        <v>14</v>
      </c>
    </row>
    <row r="17" spans="1:5" ht="24" customHeight="1">
      <c r="A17" s="275">
        <v>13</v>
      </c>
      <c r="B17" s="315" t="s">
        <v>569</v>
      </c>
      <c r="C17" s="43">
        <v>3</v>
      </c>
      <c r="D17" s="43">
        <v>3</v>
      </c>
      <c r="E17" s="155">
        <v>12</v>
      </c>
    </row>
    <row r="18" spans="1:5">
      <c r="A18" s="359"/>
      <c r="B18" s="359"/>
      <c r="E18" s="949" t="s">
        <v>674</v>
      </c>
    </row>
    <row r="21" spans="1:5" ht="33.75">
      <c r="A21" s="1866" t="s">
        <v>255</v>
      </c>
      <c r="B21" s="1866"/>
      <c r="C21" s="1866"/>
      <c r="D21" s="1866"/>
      <c r="E21" s="1866"/>
    </row>
  </sheetData>
  <mergeCells count="3">
    <mergeCell ref="A1:E1"/>
    <mergeCell ref="A2:E2"/>
    <mergeCell ref="A21:E21"/>
  </mergeCells>
  <phoneticPr fontId="0" type="noConversion"/>
  <printOptions horizontalCentered="1"/>
  <pageMargins left="0" right="0" top="0.9" bottom="0" header="0.5" footer="0.5"/>
  <pageSetup paperSize="9" orientation="landscape" blackAndWhite="1" r:id="rId1"/>
  <headerFooter alignWithMargins="0"/>
</worksheet>
</file>

<file path=xl/worksheets/sheet83.xml><?xml version="1.0" encoding="utf-8"?>
<worksheet xmlns="http://schemas.openxmlformats.org/spreadsheetml/2006/main" xmlns:r="http://schemas.openxmlformats.org/officeDocument/2006/relationships">
  <sheetPr codeName="Sheet1"/>
  <dimension ref="A1:D5"/>
  <sheetViews>
    <sheetView workbookViewId="0">
      <selection activeCell="K15" sqref="K15"/>
    </sheetView>
  </sheetViews>
  <sheetFormatPr defaultRowHeight="12.75"/>
  <cols>
    <col min="2" max="2" width="30.7109375" customWidth="1"/>
  </cols>
  <sheetData>
    <row r="1" spans="1:4" ht="18">
      <c r="A1" t="s">
        <v>1149</v>
      </c>
      <c r="B1" s="50" t="s">
        <v>326</v>
      </c>
      <c r="C1" s="51">
        <v>2014</v>
      </c>
    </row>
    <row r="2" spans="1:4" ht="18">
      <c r="B2" s="50" t="s">
        <v>327</v>
      </c>
      <c r="C2" s="50" t="s">
        <v>895</v>
      </c>
    </row>
    <row r="3" spans="1:4" ht="18">
      <c r="B3" s="50" t="s">
        <v>328</v>
      </c>
      <c r="C3" s="51" t="s">
        <v>329</v>
      </c>
      <c r="D3">
        <v>2011</v>
      </c>
    </row>
    <row r="4" spans="1:4" ht="18">
      <c r="B4" s="50" t="s">
        <v>988</v>
      </c>
      <c r="C4" s="5">
        <v>2014</v>
      </c>
    </row>
    <row r="5" spans="1:4" ht="18">
      <c r="B5" s="50" t="s">
        <v>624</v>
      </c>
      <c r="C5">
        <v>2012</v>
      </c>
    </row>
  </sheetData>
  <phoneticPr fontId="0" type="noConversion"/>
  <pageMargins left="0.75" right="0.75" top="1" bottom="1" header="0.5" footer="0.5"/>
  <pageSetup paperSize="9" orientation="portrait" horizontalDpi="4294967295" verticalDpi="0" r:id="rId1"/>
  <headerFooter alignWithMargins="0"/>
</worksheet>
</file>

<file path=xl/worksheets/sheet9.xml><?xml version="1.0" encoding="utf-8"?>
<worksheet xmlns="http://schemas.openxmlformats.org/spreadsheetml/2006/main" xmlns:r="http://schemas.openxmlformats.org/officeDocument/2006/relationships">
  <sheetPr codeName="Sheet15"/>
  <dimension ref="A1:F30"/>
  <sheetViews>
    <sheetView topLeftCell="A10" workbookViewId="0">
      <selection activeCell="G16" sqref="G16"/>
    </sheetView>
  </sheetViews>
  <sheetFormatPr defaultRowHeight="12.75"/>
  <cols>
    <col min="1" max="1" width="20.5703125" customWidth="1"/>
    <col min="2" max="2" width="21.28515625" customWidth="1"/>
    <col min="3" max="3" width="18.5703125" customWidth="1"/>
    <col min="4" max="4" width="16.85546875" customWidth="1"/>
    <col min="5" max="5" width="19.42578125" customWidth="1"/>
    <col min="6" max="6" width="19.5703125" customWidth="1"/>
  </cols>
  <sheetData>
    <row r="1" spans="1:6" s="12" customFormat="1" ht="14.25" customHeight="1">
      <c r="A1" s="1286" t="s">
        <v>393</v>
      </c>
      <c r="B1" s="1286"/>
      <c r="C1" s="1286"/>
      <c r="D1" s="1286"/>
      <c r="E1" s="1286"/>
      <c r="F1" s="1286"/>
    </row>
    <row r="2" spans="1:6" ht="15" customHeight="1">
      <c r="A2" s="1354" t="str">
        <f>CONCATENATE("Assembly and Parliamentary Constituencies in the district of ",District!$A$1)</f>
        <v>Assembly and Parliamentary Constituencies in the district of Jalpaiguri</v>
      </c>
      <c r="B2" s="1354"/>
      <c r="C2" s="1354"/>
      <c r="D2" s="1354"/>
      <c r="E2" s="1354"/>
      <c r="F2" s="1354"/>
    </row>
    <row r="3" spans="1:6" ht="12" customHeight="1">
      <c r="A3" s="416"/>
      <c r="B3" s="378"/>
      <c r="C3" s="377"/>
      <c r="D3" s="377"/>
      <c r="E3" s="377"/>
      <c r="F3" s="1046" t="s">
        <v>312</v>
      </c>
    </row>
    <row r="4" spans="1:6" ht="16.5" customHeight="1">
      <c r="A4" s="1288" t="s">
        <v>98</v>
      </c>
      <c r="B4" s="1288" t="s">
        <v>322</v>
      </c>
      <c r="C4" s="1299" t="s">
        <v>1191</v>
      </c>
      <c r="D4" s="1290" t="s">
        <v>789</v>
      </c>
      <c r="E4" s="1359"/>
      <c r="F4" s="1288" t="s">
        <v>300</v>
      </c>
    </row>
    <row r="5" spans="1:6" ht="16.5" customHeight="1">
      <c r="A5" s="1312"/>
      <c r="B5" s="1312"/>
      <c r="C5" s="1300"/>
      <c r="D5" s="537" t="s">
        <v>734</v>
      </c>
      <c r="E5" s="366" t="s">
        <v>735</v>
      </c>
      <c r="F5" s="1301"/>
    </row>
    <row r="6" spans="1:6" ht="16.5" customHeight="1">
      <c r="A6" s="57" t="s">
        <v>278</v>
      </c>
      <c r="B6" s="57" t="s">
        <v>279</v>
      </c>
      <c r="C6" s="159" t="s">
        <v>280</v>
      </c>
      <c r="D6" s="57" t="s">
        <v>281</v>
      </c>
      <c r="E6" s="87" t="s">
        <v>282</v>
      </c>
      <c r="F6" s="57" t="s">
        <v>283</v>
      </c>
    </row>
    <row r="7" spans="1:6" ht="18" customHeight="1">
      <c r="A7" s="1358">
        <v>2010</v>
      </c>
      <c r="B7" s="704" t="s">
        <v>323</v>
      </c>
      <c r="C7" s="225">
        <v>2</v>
      </c>
      <c r="D7" s="227">
        <v>5</v>
      </c>
      <c r="E7" s="225">
        <v>5</v>
      </c>
      <c r="F7" s="227">
        <f>SUM(C7:E7)</f>
        <v>12</v>
      </c>
    </row>
    <row r="8" spans="1:6" ht="18" customHeight="1">
      <c r="A8" s="1355"/>
      <c r="B8" s="367" t="s">
        <v>324</v>
      </c>
      <c r="C8" s="225" t="s">
        <v>570</v>
      </c>
      <c r="D8" s="227">
        <v>1</v>
      </c>
      <c r="E8" s="225">
        <v>1</v>
      </c>
      <c r="F8" s="227">
        <f>SUM(C8:E8)</f>
        <v>2</v>
      </c>
    </row>
    <row r="9" spans="1:6" ht="18" customHeight="1">
      <c r="A9" s="1355">
        <v>2011</v>
      </c>
      <c r="B9" s="367" t="s">
        <v>323</v>
      </c>
      <c r="C9" s="225">
        <v>2</v>
      </c>
      <c r="D9" s="227">
        <v>5</v>
      </c>
      <c r="E9" s="225">
        <v>5</v>
      </c>
      <c r="F9" s="227">
        <f t="shared" ref="F9:F14" si="0">SUM(C9:E9)</f>
        <v>12</v>
      </c>
    </row>
    <row r="10" spans="1:6" ht="18" customHeight="1">
      <c r="A10" s="1355"/>
      <c r="B10" s="367" t="s">
        <v>324</v>
      </c>
      <c r="C10" s="587" t="s">
        <v>570</v>
      </c>
      <c r="D10" s="227">
        <v>1</v>
      </c>
      <c r="E10" s="225">
        <v>1</v>
      </c>
      <c r="F10" s="227">
        <f t="shared" si="0"/>
        <v>2</v>
      </c>
    </row>
    <row r="11" spans="1:6" ht="18" customHeight="1">
      <c r="A11" s="1355">
        <v>2012</v>
      </c>
      <c r="B11" s="367" t="s">
        <v>323</v>
      </c>
      <c r="C11" s="225">
        <v>2</v>
      </c>
      <c r="D11" s="227">
        <v>5</v>
      </c>
      <c r="E11" s="225">
        <v>5</v>
      </c>
      <c r="F11" s="227">
        <f t="shared" si="0"/>
        <v>12</v>
      </c>
    </row>
    <row r="12" spans="1:6" ht="18" customHeight="1">
      <c r="A12" s="1355"/>
      <c r="B12" s="367" t="s">
        <v>324</v>
      </c>
      <c r="C12" s="587" t="s">
        <v>570</v>
      </c>
      <c r="D12" s="227">
        <v>1</v>
      </c>
      <c r="E12" s="225">
        <v>1</v>
      </c>
      <c r="F12" s="227">
        <f t="shared" si="0"/>
        <v>2</v>
      </c>
    </row>
    <row r="13" spans="1:6" ht="18" customHeight="1">
      <c r="A13" s="1323">
        <v>2013</v>
      </c>
      <c r="B13" s="367" t="s">
        <v>323</v>
      </c>
      <c r="C13" s="225">
        <v>2</v>
      </c>
      <c r="D13" s="227">
        <v>5</v>
      </c>
      <c r="E13" s="225">
        <v>5</v>
      </c>
      <c r="F13" s="227">
        <f t="shared" si="0"/>
        <v>12</v>
      </c>
    </row>
    <row r="14" spans="1:6" ht="18" customHeight="1">
      <c r="A14" s="1323"/>
      <c r="B14" s="367" t="s">
        <v>324</v>
      </c>
      <c r="C14" s="587" t="s">
        <v>570</v>
      </c>
      <c r="D14" s="227">
        <v>1</v>
      </c>
      <c r="E14" s="225">
        <v>1</v>
      </c>
      <c r="F14" s="227">
        <f t="shared" si="0"/>
        <v>2</v>
      </c>
    </row>
    <row r="15" spans="1:6" s="7" customFormat="1" ht="18" customHeight="1">
      <c r="A15" s="1355">
        <v>2014</v>
      </c>
      <c r="B15" s="367" t="s">
        <v>323</v>
      </c>
      <c r="C15" s="227">
        <v>2</v>
      </c>
      <c r="D15" s="227">
        <v>5</v>
      </c>
      <c r="E15" s="227">
        <v>5</v>
      </c>
      <c r="F15" s="227">
        <f>SUM(C15:E15)</f>
        <v>12</v>
      </c>
    </row>
    <row r="16" spans="1:6" ht="18" customHeight="1">
      <c r="A16" s="1356"/>
      <c r="B16" s="703" t="s">
        <v>324</v>
      </c>
      <c r="C16" s="588" t="s">
        <v>570</v>
      </c>
      <c r="D16" s="427">
        <v>1</v>
      </c>
      <c r="E16" s="427">
        <v>1</v>
      </c>
      <c r="F16" s="427">
        <f>SUM(C16:E16)</f>
        <v>2</v>
      </c>
    </row>
    <row r="17" spans="1:6">
      <c r="A17" s="416"/>
      <c r="B17" s="360"/>
      <c r="C17" s="360"/>
      <c r="D17" s="360"/>
      <c r="E17" s="416"/>
      <c r="F17" s="888" t="s">
        <v>886</v>
      </c>
    </row>
    <row r="18" spans="1:6" s="12" customFormat="1">
      <c r="A18" s="416"/>
      <c r="B18" s="416"/>
      <c r="C18" s="416"/>
      <c r="D18" s="416"/>
      <c r="E18" s="359"/>
      <c r="F18" s="359"/>
    </row>
    <row r="19" spans="1:6">
      <c r="A19" s="1357" t="s">
        <v>394</v>
      </c>
      <c r="B19" s="1357"/>
      <c r="C19" s="1357"/>
      <c r="D19" s="1357"/>
      <c r="E19" s="1357"/>
      <c r="F19" s="1357"/>
    </row>
    <row r="20" spans="1:6" ht="30.75" customHeight="1">
      <c r="A20" s="1353" t="str">
        <f>CONCATENATE("Number of Seats in Municipal Corporations, Municipalities and Panchayats
 in the district of ", District!$A$1)</f>
        <v>Number of Seats in Municipal Corporations, Municipalities and Panchayats
 in the district of Jalpaiguri</v>
      </c>
      <c r="B20" s="1353"/>
      <c r="C20" s="1353"/>
      <c r="D20" s="1353"/>
      <c r="E20" s="1353"/>
      <c r="F20" s="1353"/>
    </row>
    <row r="21" spans="1:6" ht="18" customHeight="1">
      <c r="A21" s="447" t="s">
        <v>98</v>
      </c>
      <c r="B21" s="447" t="s">
        <v>600</v>
      </c>
      <c r="C21" s="447" t="s">
        <v>104</v>
      </c>
      <c r="D21" s="447" t="s">
        <v>1376</v>
      </c>
      <c r="E21" s="447" t="s">
        <v>752</v>
      </c>
      <c r="F21" s="447" t="s">
        <v>106</v>
      </c>
    </row>
    <row r="22" spans="1:6" ht="18" customHeight="1">
      <c r="A22" s="57" t="s">
        <v>278</v>
      </c>
      <c r="B22" s="57" t="s">
        <v>279</v>
      </c>
      <c r="C22" s="57" t="s">
        <v>280</v>
      </c>
      <c r="D22" s="57" t="s">
        <v>281</v>
      </c>
      <c r="E22" s="57" t="s">
        <v>282</v>
      </c>
      <c r="F22" s="57" t="s">
        <v>283</v>
      </c>
    </row>
    <row r="23" spans="1:6" ht="19.5" customHeight="1">
      <c r="A23" s="365">
        <v>2010</v>
      </c>
      <c r="B23" s="425">
        <v>14</v>
      </c>
      <c r="C23" s="31">
        <v>76</v>
      </c>
      <c r="D23" s="52">
        <v>34</v>
      </c>
      <c r="E23" s="31">
        <v>396</v>
      </c>
      <c r="F23" s="52">
        <v>1976</v>
      </c>
    </row>
    <row r="24" spans="1:6" ht="19.5" customHeight="1">
      <c r="A24" s="365">
        <v>2011</v>
      </c>
      <c r="B24" s="425">
        <v>14</v>
      </c>
      <c r="C24" s="31">
        <v>76</v>
      </c>
      <c r="D24" s="52">
        <v>34</v>
      </c>
      <c r="E24" s="31">
        <v>396</v>
      </c>
      <c r="F24" s="52">
        <v>1976</v>
      </c>
    </row>
    <row r="25" spans="1:6" ht="19.5" customHeight="1">
      <c r="A25" s="365">
        <v>2012</v>
      </c>
      <c r="B25" s="425">
        <v>14</v>
      </c>
      <c r="C25" s="31">
        <v>76</v>
      </c>
      <c r="D25" s="52">
        <v>34</v>
      </c>
      <c r="E25" s="31">
        <v>396</v>
      </c>
      <c r="F25" s="52">
        <v>1976</v>
      </c>
    </row>
    <row r="26" spans="1:6" ht="19.5" customHeight="1">
      <c r="A26" s="365">
        <v>2013</v>
      </c>
      <c r="B26" s="425">
        <v>14</v>
      </c>
      <c r="C26" s="31">
        <v>76</v>
      </c>
      <c r="D26" s="52">
        <v>37</v>
      </c>
      <c r="E26" s="31">
        <v>422</v>
      </c>
      <c r="F26" s="52">
        <v>2346</v>
      </c>
    </row>
    <row r="27" spans="1:6" ht="19.5" customHeight="1">
      <c r="A27" s="1004">
        <v>2014</v>
      </c>
      <c r="B27" s="1163">
        <v>14</v>
      </c>
      <c r="C27" s="158">
        <v>76</v>
      </c>
      <c r="D27" s="155">
        <v>37</v>
      </c>
      <c r="E27" s="158">
        <v>422</v>
      </c>
      <c r="F27" s="155">
        <v>2346</v>
      </c>
    </row>
    <row r="28" spans="1:6">
      <c r="A28" s="871" t="s">
        <v>1319</v>
      </c>
      <c r="D28" s="875" t="s">
        <v>960</v>
      </c>
      <c r="E28" s="314" t="s">
        <v>1192</v>
      </c>
      <c r="F28" s="1047"/>
    </row>
    <row r="29" spans="1:6">
      <c r="D29" s="878"/>
      <c r="E29" s="878" t="s">
        <v>1194</v>
      </c>
      <c r="F29" s="877"/>
    </row>
    <row r="30" spans="1:6">
      <c r="D30" s="878"/>
      <c r="E30" s="878" t="s">
        <v>1193</v>
      </c>
      <c r="F30" s="877"/>
    </row>
  </sheetData>
  <mergeCells count="14">
    <mergeCell ref="A1:F1"/>
    <mergeCell ref="A4:A5"/>
    <mergeCell ref="C4:C5"/>
    <mergeCell ref="D4:E4"/>
    <mergeCell ref="F4:F5"/>
    <mergeCell ref="A20:F20"/>
    <mergeCell ref="A2:F2"/>
    <mergeCell ref="B4:B5"/>
    <mergeCell ref="A13:A14"/>
    <mergeCell ref="A15:A16"/>
    <mergeCell ref="A19:F19"/>
    <mergeCell ref="A7:A8"/>
    <mergeCell ref="A9:A10"/>
    <mergeCell ref="A11:A12"/>
  </mergeCells>
  <phoneticPr fontId="0" type="noConversion"/>
  <printOptions horizontalCentered="1"/>
  <pageMargins left="0.1" right="0.1" top="0.55000000000000004" bottom="0.1" header="0.46" footer="0.1"/>
  <pageSetup paperSize="9"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83</vt:i4>
      </vt:variant>
      <vt:variant>
        <vt:lpstr>Named Ranges</vt:lpstr>
      </vt:variant>
      <vt:variant>
        <vt:i4>9</vt:i4>
      </vt:variant>
    </vt:vector>
  </HeadingPairs>
  <TitlesOfParts>
    <vt:vector size="92" baseType="lpstr">
      <vt:lpstr>MAP</vt:lpstr>
      <vt:lpstr>Cover Page</vt:lpstr>
      <vt:lpstr>PREFACE</vt:lpstr>
      <vt:lpstr>Contents</vt:lpstr>
      <vt:lpstr>At a glance</vt:lpstr>
      <vt:lpstr>1.1,1.2</vt:lpstr>
      <vt:lpstr>1.3,1.4</vt:lpstr>
      <vt:lpstr>2.1</vt:lpstr>
      <vt:lpstr>2.1a,2.1b</vt:lpstr>
      <vt:lpstr>2.2,2.3</vt:lpstr>
      <vt:lpstr>2.4a</vt:lpstr>
      <vt:lpstr>2.4b</vt:lpstr>
      <vt:lpstr>2.5a</vt:lpstr>
      <vt:lpstr>2.5b</vt:lpstr>
      <vt:lpstr>2.6</vt:lpstr>
      <vt:lpstr>2.7</vt:lpstr>
      <vt:lpstr>2.8</vt:lpstr>
      <vt:lpstr>2.9,2.10</vt:lpstr>
      <vt:lpstr>2.10a</vt:lpstr>
      <vt:lpstr>2.11</vt:lpstr>
      <vt:lpstr>3.1</vt:lpstr>
      <vt:lpstr>3.2</vt:lpstr>
      <vt:lpstr>3.2a</vt:lpstr>
      <vt:lpstr>3.3</vt:lpstr>
      <vt:lpstr>3.3a</vt:lpstr>
      <vt:lpstr>4.1a</vt:lpstr>
      <vt:lpstr>4.1b</vt:lpstr>
      <vt:lpstr>4.1c</vt:lpstr>
      <vt:lpstr>4.2a</vt:lpstr>
      <vt:lpstr>4.2b</vt:lpstr>
      <vt:lpstr>4.2c</vt:lpstr>
      <vt:lpstr>4.3a</vt:lpstr>
      <vt:lpstr>4.3b</vt:lpstr>
      <vt:lpstr>4.3c</vt:lpstr>
      <vt:lpstr>4.4</vt:lpstr>
      <vt:lpstr>4.5</vt:lpstr>
      <vt:lpstr>4.6</vt:lpstr>
      <vt:lpstr>4.7,4.8</vt:lpstr>
      <vt:lpstr>5.1,5.1a</vt:lpstr>
      <vt:lpstr>5.1b,5.2</vt:lpstr>
      <vt:lpstr>5.3</vt:lpstr>
      <vt:lpstr>5.3a</vt:lpstr>
      <vt:lpstr>5.3b,5.3c</vt:lpstr>
      <vt:lpstr>5.3d</vt:lpstr>
      <vt:lpstr>5.3e,5.3f</vt:lpstr>
      <vt:lpstr>5.4</vt:lpstr>
      <vt:lpstr>5.5,5.5a</vt:lpstr>
      <vt:lpstr>5.6,5.7,5.8</vt:lpstr>
      <vt:lpstr>6.1</vt:lpstr>
      <vt:lpstr>6.2</vt:lpstr>
      <vt:lpstr>7.1</vt:lpstr>
      <vt:lpstr>7.2,7.3</vt:lpstr>
      <vt:lpstr>8.1,8.2</vt:lpstr>
      <vt:lpstr>8.2a</vt:lpstr>
      <vt:lpstr>8.3</vt:lpstr>
      <vt:lpstr>8.4</vt:lpstr>
      <vt:lpstr>9.1</vt:lpstr>
      <vt:lpstr>9.2,9.2a,9.2b</vt:lpstr>
      <vt:lpstr>10.1,10.2</vt:lpstr>
      <vt:lpstr>10.3</vt:lpstr>
      <vt:lpstr>11.1</vt:lpstr>
      <vt:lpstr>11.1a,11.2</vt:lpstr>
      <vt:lpstr>11.3,11.4</vt:lpstr>
      <vt:lpstr>12.1,12.2</vt:lpstr>
      <vt:lpstr>12.3,12.4</vt:lpstr>
      <vt:lpstr>12.5,12.6,12.7</vt:lpstr>
      <vt:lpstr>13.1</vt:lpstr>
      <vt:lpstr>13.2,13.3</vt:lpstr>
      <vt:lpstr>14.1,14.2</vt:lpstr>
      <vt:lpstr>15.1</vt:lpstr>
      <vt:lpstr>15.2</vt:lpstr>
      <vt:lpstr>Block_Level</vt:lpstr>
      <vt:lpstr>16.1</vt:lpstr>
      <vt:lpstr>17.1</vt:lpstr>
      <vt:lpstr>17.2</vt:lpstr>
      <vt:lpstr>18.1</vt:lpstr>
      <vt:lpstr>18.2</vt:lpstr>
      <vt:lpstr>18.3</vt:lpstr>
      <vt:lpstr>19.1</vt:lpstr>
      <vt:lpstr>20.1,20.2</vt:lpstr>
      <vt:lpstr>21.1</vt:lpstr>
      <vt:lpstr>21.2</vt:lpstr>
      <vt:lpstr>District</vt:lpstr>
      <vt:lpstr>'5.5,5.5a'!Print_Area</vt:lpstr>
      <vt:lpstr>'7.1'!Print_Area</vt:lpstr>
      <vt:lpstr>'10.3'!Print_Titles</vt:lpstr>
      <vt:lpstr>'18.2'!Print_Titles</vt:lpstr>
      <vt:lpstr>'2.2,2.3'!Print_Titles</vt:lpstr>
      <vt:lpstr>'2.7'!Print_Titles</vt:lpstr>
      <vt:lpstr>'4.6'!Print_Titles</vt:lpstr>
      <vt:lpstr>'4.7,4.8'!Print_Titles</vt:lpstr>
      <vt:lpstr>'6.2'!Print_Titles</vt:lpstr>
    </vt:vector>
  </TitlesOfParts>
  <Company>HCL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NEWUSER</dc:creator>
  <cp:lastModifiedBy>BAES</cp:lastModifiedBy>
  <cp:lastPrinted>2016-06-16T10:27:32Z</cp:lastPrinted>
  <dcterms:created xsi:type="dcterms:W3CDTF">2007-01-18T06:47:54Z</dcterms:created>
  <dcterms:modified xsi:type="dcterms:W3CDTF">2016-06-23T07:29:31Z</dcterms:modified>
</cp:coreProperties>
</file>