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sharedStrings.xml" ContentType="application/vnd.openxmlformats-officedocument.spreadsheetml.sharedStrings+xml"/>
  <Default Extension="doc" ContentType="application/msword"/>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Default Extension="emf" ContentType="image/x-emf"/>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Default Extension="wmf" ContentType="image/x-wmf"/>
  <Override PartName="/xl/drawings/drawing4.xml" ContentType="application/vnd.openxmlformats-officedocument.drawing+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240" yWindow="30" windowWidth="11355" windowHeight="5895" tabRatio="857"/>
  </bookViews>
  <sheets>
    <sheet name="Map" sheetId="117" r:id="rId1"/>
    <sheet name="Cover Page" sheetId="118" r:id="rId2"/>
    <sheet name="PREFACE" sheetId="119" r:id="rId3"/>
    <sheet name="Contents" sheetId="109" r:id="rId4"/>
    <sheet name="At a glance" sheetId="116" r:id="rId5"/>
    <sheet name="1.1,1.2" sheetId="2" r:id="rId6"/>
    <sheet name="1.3,1.4" sheetId="4" r:id="rId7"/>
    <sheet name="2.1" sheetId="6" r:id="rId8"/>
    <sheet name="2.1a,2.1b" sheetId="126" r:id="rId9"/>
    <sheet name="2.2" sheetId="9" r:id="rId10"/>
    <sheet name="2.3" sheetId="10" r:id="rId11"/>
    <sheet name="2.4a" sheetId="112" r:id="rId12"/>
    <sheet name="2.4b" sheetId="146" r:id="rId13"/>
    <sheet name="2.5a" sheetId="129" r:id="rId14"/>
    <sheet name="2.5b" sheetId="147" r:id="rId15"/>
    <sheet name="2.6" sheetId="16" r:id="rId16"/>
    <sheet name="2.7" sheetId="17" r:id="rId17"/>
    <sheet name="2.8" sheetId="18" r:id="rId18"/>
    <sheet name="2.9" sheetId="19" r:id="rId19"/>
    <sheet name="2.10" sheetId="133" r:id="rId20"/>
    <sheet name="2.10a" sheetId="135" r:id="rId21"/>
    <sheet name="2.11" sheetId="134" r:id="rId22"/>
    <sheet name="3.1" sheetId="132" r:id="rId23"/>
    <sheet name="3.2" sheetId="131" r:id="rId24"/>
    <sheet name="3.2a" sheetId="25" r:id="rId25"/>
    <sheet name="3.3" sheetId="26" r:id="rId26"/>
    <sheet name="3.3a" sheetId="122" r:id="rId27"/>
    <sheet name="4.1a" sheetId="27" r:id="rId28"/>
    <sheet name="4.1b" sheetId="28" r:id="rId29"/>
    <sheet name="4.1c" sheetId="29" r:id="rId30"/>
    <sheet name="4.2a" sheetId="30" r:id="rId31"/>
    <sheet name="4.2b" sheetId="31" r:id="rId32"/>
    <sheet name="4.2c" sheetId="32" r:id="rId33"/>
    <sheet name="4.3a" sheetId="33" r:id="rId34"/>
    <sheet name="4.3b" sheetId="34" r:id="rId35"/>
    <sheet name="4.3c" sheetId="35" r:id="rId36"/>
    <sheet name="4.4" sheetId="37" r:id="rId37"/>
    <sheet name="4.5" sheetId="38" r:id="rId38"/>
    <sheet name="4.6" sheetId="39" r:id="rId39"/>
    <sheet name="4.7" sheetId="40" r:id="rId40"/>
    <sheet name="4.8" sheetId="42" r:id="rId41"/>
    <sheet name="5.1 ,5.1a" sheetId="83" r:id="rId42"/>
    <sheet name="5.1b,5.2" sheetId="45" r:id="rId43"/>
    <sheet name="5.3" sheetId="114" r:id="rId44"/>
    <sheet name="5.3a" sheetId="49" r:id="rId45"/>
    <sheet name="5.3b,5.3c" sheetId="50" r:id="rId46"/>
    <sheet name="5.3d" sheetId="51" r:id="rId47"/>
    <sheet name="5.3e" sheetId="52" r:id="rId48"/>
    <sheet name="5.4" sheetId="128" r:id="rId49"/>
    <sheet name="5.5,5.5a" sheetId="54" r:id="rId50"/>
    <sheet name="5.6,5.7,5.8" sheetId="56" r:id="rId51"/>
    <sheet name="6.1" sheetId="59" r:id="rId52"/>
    <sheet name="6.2" sheetId="60" r:id="rId53"/>
    <sheet name="7.1" sheetId="61" r:id="rId54"/>
    <sheet name="7.2,7.3" sheetId="62" r:id="rId55"/>
    <sheet name="8.1,8.2" sheetId="141" r:id="rId56"/>
    <sheet name="8.2a" sheetId="66" r:id="rId57"/>
    <sheet name="8.3" sheetId="68" r:id="rId58"/>
    <sheet name="8.4" sheetId="69" r:id="rId59"/>
    <sheet name="9.1" sheetId="140" r:id="rId60"/>
    <sheet name="9.2,9.2a,9.2b" sheetId="139" r:id="rId61"/>
    <sheet name="10.1,10.2" sheetId="75" r:id="rId62"/>
    <sheet name="10.3" sheetId="77" r:id="rId63"/>
    <sheet name="11.1" sheetId="85" r:id="rId64"/>
    <sheet name="11.1a,11.2" sheetId="86" r:id="rId65"/>
    <sheet name="11.3,11.4" sheetId="88" r:id="rId66"/>
    <sheet name="12.1,12.2" sheetId="90" r:id="rId67"/>
    <sheet name="12.3,12.4" sheetId="137" r:id="rId68"/>
    <sheet name="12.5,12.6,12.7" sheetId="93" r:id="rId69"/>
    <sheet name="13.1" sheetId="78" r:id="rId70"/>
    <sheet name="13.2,13.3" sheetId="79" r:id="rId71"/>
    <sheet name="14.1,14.2" sheetId="81" r:id="rId72"/>
    <sheet name="15.1" sheetId="43" r:id="rId73"/>
    <sheet name="15.2" sheetId="84" r:id="rId74"/>
    <sheet name="Block_Level" sheetId="144" r:id="rId75"/>
    <sheet name="16.1" sheetId="98" r:id="rId76"/>
    <sheet name="17.1" sheetId="142" r:id="rId77"/>
    <sheet name="17.2" sheetId="100" r:id="rId78"/>
    <sheet name="18.1" sheetId="138" r:id="rId79"/>
    <sheet name="18.2" sheetId="102" r:id="rId80"/>
    <sheet name="18.3" sheetId="103" r:id="rId81"/>
    <sheet name="19.1" sheetId="148" r:id="rId82"/>
    <sheet name="20.1" sheetId="105" r:id="rId83"/>
    <sheet name="20.2" sheetId="106" r:id="rId84"/>
    <sheet name="21.1" sheetId="107" r:id="rId85"/>
    <sheet name="21.2" sheetId="108" r:id="rId86"/>
    <sheet name="District" sheetId="12" r:id="rId87"/>
  </sheets>
  <externalReferences>
    <externalReference r:id="rId88"/>
  </externalReferences>
  <definedNames>
    <definedName name="_xlnm.Print_Area" localSheetId="7">'2.1'!$A$1:$R$62</definedName>
    <definedName name="_xlnm.Print_Area" localSheetId="32">'4.2c'!$A$1:$N$29</definedName>
    <definedName name="_xlnm.Print_Titles" localSheetId="9">'2.2'!$3:$4</definedName>
    <definedName name="_xlnm.Print_Titles" localSheetId="38">'4.6'!$11:$11</definedName>
    <definedName name="_xlnm.Print_Titles" localSheetId="39">'4.7'!$10:$10</definedName>
    <definedName name="s" localSheetId="81">'[1]2.11'!#REF!</definedName>
    <definedName name="s">'[1]2.11'!#REF!</definedName>
    <definedName name="Table2.1" localSheetId="81">'[1]2.11'!#REF!</definedName>
    <definedName name="Table2.1" localSheetId="74">'[1]2.11'!#REF!</definedName>
    <definedName name="Table2.1">'[1]2.11'!#REF!</definedName>
    <definedName name="Table2.10" localSheetId="81">#REF!</definedName>
    <definedName name="Table2.10">#REF!</definedName>
    <definedName name="Table2.10a" localSheetId="81">'[1]2.11'!#REF!</definedName>
    <definedName name="Table2.10a" localSheetId="74">'[1]2.11'!#REF!</definedName>
    <definedName name="Table2.10a">'[1]2.11'!#REF!</definedName>
    <definedName name="Table2.2" localSheetId="81">#REF!</definedName>
    <definedName name="Table2.2">#REF!</definedName>
  </definedNames>
  <calcPr calcId="124519"/>
</workbook>
</file>

<file path=xl/calcChain.xml><?xml version="1.0" encoding="utf-8"?>
<calcChain xmlns="http://schemas.openxmlformats.org/spreadsheetml/2006/main">
  <c r="W8" i="37"/>
  <c r="A7" i="148"/>
  <c r="A8" s="1"/>
  <c r="A9" s="1"/>
  <c r="A10" s="1"/>
  <c r="A11" s="1"/>
  <c r="A12" s="1"/>
  <c r="A13" s="1"/>
  <c r="A14" s="1"/>
  <c r="A15" s="1"/>
  <c r="A16" s="1"/>
  <c r="A17" s="1"/>
  <c r="A18" s="1"/>
  <c r="A19" s="1"/>
  <c r="A20" s="1"/>
  <c r="A21" s="1"/>
  <c r="A22" s="1"/>
  <c r="A23" s="1"/>
  <c r="A24" s="1"/>
  <c r="A25" s="1"/>
  <c r="A26" s="1"/>
  <c r="A27" s="1"/>
  <c r="A28" s="1"/>
  <c r="A29" s="1"/>
  <c r="A30" s="1"/>
  <c r="A31" s="1"/>
  <c r="A32" s="1"/>
  <c r="A33" s="1"/>
  <c r="A34" s="1"/>
  <c r="J10" i="66"/>
  <c r="I19" i="29"/>
  <c r="I25" i="28"/>
  <c r="I7"/>
  <c r="I13" i="27"/>
  <c r="I8"/>
  <c r="C57" i="131"/>
  <c r="C41"/>
  <c r="C23"/>
  <c r="G42" i="45" l="1"/>
  <c r="I55" i="37" l="1"/>
  <c r="L55"/>
  <c r="E33" i="122"/>
  <c r="E32"/>
  <c r="E31"/>
  <c r="L12" i="132"/>
  <c r="K12"/>
  <c r="J12"/>
  <c r="I12"/>
  <c r="C42"/>
  <c r="H24"/>
  <c r="G24"/>
  <c r="F24"/>
  <c r="E24"/>
  <c r="D24"/>
  <c r="C24"/>
  <c r="L24"/>
  <c r="E12"/>
  <c r="G12" i="77"/>
  <c r="C12"/>
  <c r="D12"/>
  <c r="B11" i="84"/>
  <c r="F55" i="37"/>
  <c r="M8" i="30"/>
  <c r="N24"/>
  <c r="M24"/>
  <c r="N19"/>
  <c r="M19"/>
  <c r="N14"/>
  <c r="N8" s="1"/>
  <c r="M14"/>
  <c r="D50" i="122"/>
  <c r="C50"/>
  <c r="B50"/>
  <c r="D39"/>
  <c r="C39"/>
  <c r="D34"/>
  <c r="C34"/>
  <c r="D23"/>
  <c r="B14"/>
  <c r="C14"/>
  <c r="C23"/>
  <c r="L9" i="43"/>
  <c r="L8"/>
  <c r="L7"/>
  <c r="L6"/>
  <c r="I32" i="79"/>
  <c r="G32"/>
  <c r="E32"/>
  <c r="C32"/>
  <c r="K12"/>
  <c r="J12"/>
  <c r="I12"/>
  <c r="H12"/>
  <c r="F12"/>
  <c r="E12"/>
  <c r="D12"/>
  <c r="C12"/>
  <c r="J31" i="78"/>
  <c r="I31"/>
  <c r="H31"/>
  <c r="G31"/>
  <c r="E31"/>
  <c r="D31"/>
  <c r="C31"/>
  <c r="B31"/>
  <c r="J16"/>
  <c r="I16"/>
  <c r="H16"/>
  <c r="G16"/>
  <c r="E16"/>
  <c r="D16"/>
  <c r="C16"/>
  <c r="B16"/>
  <c r="K30" i="137"/>
  <c r="K29"/>
  <c r="K28"/>
  <c r="K27"/>
  <c r="K23" i="90"/>
  <c r="K22"/>
  <c r="K21"/>
  <c r="K20"/>
  <c r="M10"/>
  <c r="J10"/>
  <c r="G10"/>
  <c r="J9"/>
  <c r="G9"/>
  <c r="D9"/>
  <c r="M8"/>
  <c r="J8"/>
  <c r="G8"/>
  <c r="D8"/>
  <c r="M7"/>
  <c r="J7"/>
  <c r="G7"/>
  <c r="D7"/>
  <c r="E18" i="88"/>
  <c r="D18"/>
  <c r="C18"/>
  <c r="B18"/>
  <c r="B24" i="86"/>
  <c r="F13" i="75"/>
  <c r="E13"/>
  <c r="D13"/>
  <c r="C13"/>
  <c r="J9" i="66"/>
  <c r="J8"/>
  <c r="J7"/>
  <c r="J6"/>
  <c r="E50" i="141"/>
  <c r="E40"/>
  <c r="E35"/>
  <c r="E27"/>
  <c r="E21"/>
  <c r="D50"/>
  <c r="D40"/>
  <c r="D35"/>
  <c r="D27"/>
  <c r="D21"/>
  <c r="C50"/>
  <c r="C40"/>
  <c r="C35"/>
  <c r="C27"/>
  <c r="C21"/>
  <c r="B50"/>
  <c r="B40"/>
  <c r="B35"/>
  <c r="B27"/>
  <c r="B21"/>
  <c r="N10" i="62"/>
  <c r="P10"/>
  <c r="O10"/>
  <c r="M10"/>
  <c r="I10"/>
  <c r="E10"/>
  <c r="N9"/>
  <c r="P9"/>
  <c r="O9"/>
  <c r="Q9"/>
  <c r="M9"/>
  <c r="I9"/>
  <c r="E9"/>
  <c r="Q8"/>
  <c r="M8"/>
  <c r="I8"/>
  <c r="E8"/>
  <c r="Q7"/>
  <c r="M7"/>
  <c r="I7"/>
  <c r="E7"/>
  <c r="I9" i="56"/>
  <c r="I8"/>
  <c r="I7"/>
  <c r="I6"/>
  <c r="L10" i="54"/>
  <c r="L9"/>
  <c r="L8"/>
  <c r="L7"/>
  <c r="E14" i="128"/>
  <c r="D14"/>
  <c r="C14"/>
  <c r="K30" i="51"/>
  <c r="J30"/>
  <c r="I30"/>
  <c r="H30"/>
  <c r="K18"/>
  <c r="J18"/>
  <c r="I18"/>
  <c r="H18"/>
  <c r="F30"/>
  <c r="E30"/>
  <c r="D30"/>
  <c r="C30"/>
  <c r="F18"/>
  <c r="E18"/>
  <c r="D18"/>
  <c r="C18"/>
  <c r="F38" i="114"/>
  <c r="E38"/>
  <c r="D38"/>
  <c r="C38"/>
  <c r="F30"/>
  <c r="E30"/>
  <c r="D30"/>
  <c r="C30"/>
  <c r="F25"/>
  <c r="E25"/>
  <c r="D25"/>
  <c r="C25"/>
  <c r="F7"/>
  <c r="F15" s="1"/>
  <c r="F20" s="1"/>
  <c r="F19"/>
  <c r="E7"/>
  <c r="E15" s="1"/>
  <c r="E20" s="1"/>
  <c r="E19"/>
  <c r="D7"/>
  <c r="D15" s="1"/>
  <c r="D20" s="1"/>
  <c r="D19"/>
  <c r="C7"/>
  <c r="C15" s="1"/>
  <c r="C20" s="1"/>
  <c r="C19"/>
  <c r="F50" i="45"/>
  <c r="E50"/>
  <c r="D50"/>
  <c r="C50"/>
  <c r="E42"/>
  <c r="D42"/>
  <c r="C42"/>
  <c r="F37"/>
  <c r="E37"/>
  <c r="D37"/>
  <c r="C37"/>
  <c r="F19"/>
  <c r="F27"/>
  <c r="F31"/>
  <c r="F32"/>
  <c r="E19"/>
  <c r="E27"/>
  <c r="E31"/>
  <c r="E32"/>
  <c r="D19"/>
  <c r="D27"/>
  <c r="D31"/>
  <c r="D32"/>
  <c r="C19"/>
  <c r="C27"/>
  <c r="C31"/>
  <c r="C32"/>
  <c r="G9"/>
  <c r="G8"/>
  <c r="G7"/>
  <c r="G6"/>
  <c r="D9" i="83"/>
  <c r="D8"/>
  <c r="D7"/>
  <c r="D6"/>
  <c r="H19" i="35"/>
  <c r="G19"/>
  <c r="F19"/>
  <c r="E19"/>
  <c r="H8" i="34"/>
  <c r="H7" s="1"/>
  <c r="H18"/>
  <c r="H25"/>
  <c r="H28"/>
  <c r="G8"/>
  <c r="G7"/>
  <c r="G18"/>
  <c r="G25"/>
  <c r="G28"/>
  <c r="G17"/>
  <c r="F8"/>
  <c r="F7" s="1"/>
  <c r="F18"/>
  <c r="F25"/>
  <c r="F28"/>
  <c r="E8"/>
  <c r="E13"/>
  <c r="E7" s="1"/>
  <c r="E18"/>
  <c r="E25"/>
  <c r="E28"/>
  <c r="H23" i="33"/>
  <c r="G23"/>
  <c r="F23"/>
  <c r="E23"/>
  <c r="H18"/>
  <c r="G18"/>
  <c r="F18"/>
  <c r="E18"/>
  <c r="H13"/>
  <c r="G13"/>
  <c r="F13"/>
  <c r="E13"/>
  <c r="H8"/>
  <c r="G8"/>
  <c r="F8"/>
  <c r="E8"/>
  <c r="H7"/>
  <c r="G7"/>
  <c r="F7"/>
  <c r="E7"/>
  <c r="L20" i="32"/>
  <c r="K20"/>
  <c r="J20"/>
  <c r="I20"/>
  <c r="H20"/>
  <c r="G20"/>
  <c r="F20"/>
  <c r="E20"/>
  <c r="L9" i="31"/>
  <c r="L8" s="1"/>
  <c r="L19"/>
  <c r="L18" s="1"/>
  <c r="L26"/>
  <c r="L29"/>
  <c r="K9"/>
  <c r="K8" s="1"/>
  <c r="K19"/>
  <c r="K26"/>
  <c r="K29"/>
  <c r="J9"/>
  <c r="J8" s="1"/>
  <c r="J36" s="1"/>
  <c r="J19"/>
  <c r="J18" s="1"/>
  <c r="J26"/>
  <c r="J29"/>
  <c r="I9"/>
  <c r="I8" s="1"/>
  <c r="I19"/>
  <c r="I26"/>
  <c r="I29"/>
  <c r="H9"/>
  <c r="H8" s="1"/>
  <c r="H36" s="1"/>
  <c r="H19"/>
  <c r="H18" s="1"/>
  <c r="H26"/>
  <c r="H29"/>
  <c r="G9"/>
  <c r="G8" s="1"/>
  <c r="G19"/>
  <c r="G26"/>
  <c r="G29"/>
  <c r="F9"/>
  <c r="F8" s="1"/>
  <c r="F36" s="1"/>
  <c r="F19"/>
  <c r="F18" s="1"/>
  <c r="F26"/>
  <c r="F29"/>
  <c r="E9"/>
  <c r="E8" s="1"/>
  <c r="E19"/>
  <c r="E26"/>
  <c r="E29"/>
  <c r="J24" i="30"/>
  <c r="I24"/>
  <c r="H24"/>
  <c r="G24"/>
  <c r="F24"/>
  <c r="E24"/>
  <c r="J19"/>
  <c r="I19"/>
  <c r="H19"/>
  <c r="G19"/>
  <c r="F19"/>
  <c r="E19"/>
  <c r="J14"/>
  <c r="I14"/>
  <c r="H14"/>
  <c r="G14"/>
  <c r="F14"/>
  <c r="E14"/>
  <c r="L9"/>
  <c r="K9"/>
  <c r="J9"/>
  <c r="I9"/>
  <c r="H9"/>
  <c r="G9"/>
  <c r="F9"/>
  <c r="E9"/>
  <c r="J8"/>
  <c r="I8"/>
  <c r="H8"/>
  <c r="G8"/>
  <c r="F8"/>
  <c r="E8"/>
  <c r="H19" i="29"/>
  <c r="G19"/>
  <c r="F19"/>
  <c r="E19"/>
  <c r="H8" i="28"/>
  <c r="H13"/>
  <c r="H18"/>
  <c r="H25"/>
  <c r="H28"/>
  <c r="G8"/>
  <c r="G13"/>
  <c r="G7" s="1"/>
  <c r="G18"/>
  <c r="G25"/>
  <c r="G28"/>
  <c r="F8"/>
  <c r="F13"/>
  <c r="F18"/>
  <c r="F25"/>
  <c r="F28"/>
  <c r="E8"/>
  <c r="E13"/>
  <c r="E7" s="1"/>
  <c r="E18"/>
  <c r="E25"/>
  <c r="E28"/>
  <c r="H23" i="27"/>
  <c r="G23"/>
  <c r="F23"/>
  <c r="E23"/>
  <c r="H18"/>
  <c r="G18"/>
  <c r="F18"/>
  <c r="E18"/>
  <c r="H13"/>
  <c r="G13"/>
  <c r="F13"/>
  <c r="E13"/>
  <c r="H8"/>
  <c r="G8"/>
  <c r="F8"/>
  <c r="E8"/>
  <c r="H7"/>
  <c r="G7"/>
  <c r="F7"/>
  <c r="E7"/>
  <c r="D14" i="26"/>
  <c r="D15"/>
  <c r="D16"/>
  <c r="D17"/>
  <c r="D18"/>
  <c r="D23"/>
  <c r="D24"/>
  <c r="D25"/>
  <c r="D26"/>
  <c r="D28"/>
  <c r="D29"/>
  <c r="D31"/>
  <c r="I20" i="4"/>
  <c r="H20"/>
  <c r="G20"/>
  <c r="F20"/>
  <c r="E20"/>
  <c r="D20"/>
  <c r="C20"/>
  <c r="B20"/>
  <c r="G28" i="2"/>
  <c r="F28"/>
  <c r="E28"/>
  <c r="D28"/>
  <c r="Q51" i="142"/>
  <c r="Q49"/>
  <c r="Q39"/>
  <c r="Q35"/>
  <c r="O53"/>
  <c r="O51"/>
  <c r="O49"/>
  <c r="O47"/>
  <c r="O46"/>
  <c r="O45"/>
  <c r="O44"/>
  <c r="O41"/>
  <c r="O40"/>
  <c r="O39"/>
  <c r="O38"/>
  <c r="O37"/>
  <c r="O35"/>
  <c r="M53"/>
  <c r="M51"/>
  <c r="M49"/>
  <c r="M47"/>
  <c r="M46"/>
  <c r="M43"/>
  <c r="M39"/>
  <c r="M38"/>
  <c r="M37"/>
  <c r="M35"/>
  <c r="I49"/>
  <c r="K53"/>
  <c r="K51"/>
  <c r="K49"/>
  <c r="K47"/>
  <c r="K39"/>
  <c r="K37"/>
  <c r="K35"/>
  <c r="Q27"/>
  <c r="Q17"/>
  <c r="O27"/>
  <c r="O26"/>
  <c r="O25"/>
  <c r="O21"/>
  <c r="O19"/>
  <c r="O17"/>
  <c r="O15"/>
  <c r="O13"/>
  <c r="O12"/>
  <c r="O11"/>
  <c r="O6"/>
  <c r="M27"/>
  <c r="M25"/>
  <c r="M23"/>
  <c r="M17"/>
  <c r="M13"/>
  <c r="K27"/>
  <c r="K21"/>
  <c r="K17"/>
  <c r="K15"/>
  <c r="B12" i="84"/>
  <c r="B21"/>
  <c r="B32"/>
  <c r="B37"/>
  <c r="B48"/>
  <c r="E8" i="6"/>
  <c r="A2" i="38"/>
  <c r="I8" i="37"/>
  <c r="I17"/>
  <c r="I34"/>
  <c r="I39"/>
  <c r="I50"/>
  <c r="H8" i="6"/>
  <c r="H17"/>
  <c r="H35"/>
  <c r="H40"/>
  <c r="H51"/>
  <c r="C41" i="9"/>
  <c r="C30"/>
  <c r="C25"/>
  <c r="C14"/>
  <c r="C5"/>
  <c r="N11" i="62"/>
  <c r="L50" i="37"/>
  <c r="F17"/>
  <c r="L8"/>
  <c r="L17"/>
  <c r="L34"/>
  <c r="L39"/>
  <c r="F50"/>
  <c r="F8"/>
  <c r="F34"/>
  <c r="F39"/>
  <c r="B17"/>
  <c r="D14" i="122"/>
  <c r="D27" i="26"/>
  <c r="L42" i="132"/>
  <c r="L47"/>
  <c r="L58"/>
  <c r="J17"/>
  <c r="J18"/>
  <c r="I24"/>
  <c r="I42"/>
  <c r="I47"/>
  <c r="I58"/>
  <c r="B64" i="116"/>
  <c r="B60"/>
  <c r="D60"/>
  <c r="D63"/>
  <c r="D64"/>
  <c r="K38" i="68"/>
  <c r="J38"/>
  <c r="I38"/>
  <c r="H38"/>
  <c r="G38"/>
  <c r="F38"/>
  <c r="E38"/>
  <c r="D38"/>
  <c r="C38"/>
  <c r="B38"/>
  <c r="G11" i="90"/>
  <c r="K20" i="4"/>
  <c r="J20"/>
  <c r="H28" i="2"/>
  <c r="B11" i="77"/>
  <c r="G6" i="42"/>
  <c r="G7"/>
  <c r="G8"/>
  <c r="G9"/>
  <c r="I18" i="28"/>
  <c r="E13" i="122"/>
  <c r="E15"/>
  <c r="E16"/>
  <c r="E17"/>
  <c r="E18"/>
  <c r="E19"/>
  <c r="E24"/>
  <c r="E25"/>
  <c r="E26"/>
  <c r="E27"/>
  <c r="E28"/>
  <c r="E29"/>
  <c r="E30"/>
  <c r="E35"/>
  <c r="E36"/>
  <c r="E37"/>
  <c r="E38"/>
  <c r="E40"/>
  <c r="E41"/>
  <c r="E42"/>
  <c r="E43"/>
  <c r="E44"/>
  <c r="E45"/>
  <c r="E46"/>
  <c r="E47"/>
  <c r="E48"/>
  <c r="E49"/>
  <c r="E51"/>
  <c r="E52"/>
  <c r="E53"/>
  <c r="E54"/>
  <c r="D34" i="26"/>
  <c r="D35"/>
  <c r="D36"/>
  <c r="D37"/>
  <c r="D39"/>
  <c r="D40"/>
  <c r="D41"/>
  <c r="D42"/>
  <c r="D43"/>
  <c r="D44"/>
  <c r="D45"/>
  <c r="D46"/>
  <c r="D47"/>
  <c r="D48"/>
  <c r="D50"/>
  <c r="D51"/>
  <c r="D52"/>
  <c r="D53"/>
  <c r="F14" i="126"/>
  <c r="F13"/>
  <c r="F12"/>
  <c r="F11"/>
  <c r="F10"/>
  <c r="F9"/>
  <c r="F8"/>
  <c r="F7"/>
  <c r="I9" i="137"/>
  <c r="A2" i="18"/>
  <c r="F15" i="134"/>
  <c r="E15"/>
  <c r="C15"/>
  <c r="B15"/>
  <c r="D7" i="16"/>
  <c r="C7"/>
  <c r="I8" i="6"/>
  <c r="I17"/>
  <c r="I35"/>
  <c r="I40"/>
  <c r="I51"/>
  <c r="D51" i="116"/>
  <c r="D50"/>
  <c r="D49"/>
  <c r="D17"/>
  <c r="N40" i="17"/>
  <c r="N51"/>
  <c r="T52"/>
  <c r="C52" s="1"/>
  <c r="T53"/>
  <c r="C53" s="1"/>
  <c r="T54"/>
  <c r="C54" s="1"/>
  <c r="T55"/>
  <c r="C55" s="1"/>
  <c r="T41"/>
  <c r="C41" s="1"/>
  <c r="T42"/>
  <c r="C42" s="1"/>
  <c r="T43"/>
  <c r="C43" s="1"/>
  <c r="T44"/>
  <c r="C44" s="1"/>
  <c r="T45"/>
  <c r="C45" s="1"/>
  <c r="T46"/>
  <c r="C46" s="1"/>
  <c r="T47"/>
  <c r="C47" s="1"/>
  <c r="T48"/>
  <c r="C48" s="1"/>
  <c r="T49"/>
  <c r="C49" s="1"/>
  <c r="T50"/>
  <c r="C50" s="1"/>
  <c r="T36"/>
  <c r="C36" s="1"/>
  <c r="T37"/>
  <c r="C37" s="1"/>
  <c r="T38"/>
  <c r="C38" s="1"/>
  <c r="T39"/>
  <c r="C39" s="1"/>
  <c r="T19"/>
  <c r="C19" s="1"/>
  <c r="T20"/>
  <c r="C20" s="1"/>
  <c r="T21"/>
  <c r="C21" s="1"/>
  <c r="T22"/>
  <c r="C22" s="1"/>
  <c r="T23"/>
  <c r="C23" s="1"/>
  <c r="T24"/>
  <c r="C24" s="1"/>
  <c r="T25"/>
  <c r="C25" s="1"/>
  <c r="T26"/>
  <c r="C26" s="1"/>
  <c r="T27"/>
  <c r="C27" s="1"/>
  <c r="T18"/>
  <c r="C18" s="1"/>
  <c r="T10"/>
  <c r="C10" s="1"/>
  <c r="T11"/>
  <c r="C11" s="1"/>
  <c r="T12"/>
  <c r="C12" s="1"/>
  <c r="T13"/>
  <c r="C13" s="1"/>
  <c r="T14"/>
  <c r="C14" s="1"/>
  <c r="T15"/>
  <c r="C15" s="1"/>
  <c r="T16"/>
  <c r="C16" s="1"/>
  <c r="T9"/>
  <c r="C9" s="1"/>
  <c r="E53"/>
  <c r="E54"/>
  <c r="E55"/>
  <c r="G53"/>
  <c r="G54"/>
  <c r="G55"/>
  <c r="I53"/>
  <c r="I54"/>
  <c r="I55"/>
  <c r="E52"/>
  <c r="G52"/>
  <c r="I52"/>
  <c r="E19"/>
  <c r="E20"/>
  <c r="E21"/>
  <c r="E22"/>
  <c r="E23"/>
  <c r="E24"/>
  <c r="E25"/>
  <c r="E26"/>
  <c r="E27"/>
  <c r="G19"/>
  <c r="G20"/>
  <c r="G21"/>
  <c r="G22"/>
  <c r="G23"/>
  <c r="G24"/>
  <c r="G25"/>
  <c r="G26"/>
  <c r="G27"/>
  <c r="E18"/>
  <c r="G18"/>
  <c r="E10"/>
  <c r="E11"/>
  <c r="E12"/>
  <c r="E13"/>
  <c r="E14"/>
  <c r="E15"/>
  <c r="E16"/>
  <c r="G10"/>
  <c r="G11"/>
  <c r="G12"/>
  <c r="G13"/>
  <c r="G14"/>
  <c r="G15"/>
  <c r="G16"/>
  <c r="E9"/>
  <c r="G9"/>
  <c r="E42"/>
  <c r="E43"/>
  <c r="E44"/>
  <c r="E45"/>
  <c r="E46"/>
  <c r="E47"/>
  <c r="E48"/>
  <c r="E49"/>
  <c r="E50"/>
  <c r="G42"/>
  <c r="G43"/>
  <c r="G44"/>
  <c r="G45"/>
  <c r="G46"/>
  <c r="G47"/>
  <c r="G48"/>
  <c r="G49"/>
  <c r="G50"/>
  <c r="I42"/>
  <c r="I43"/>
  <c r="I44"/>
  <c r="I45"/>
  <c r="I46"/>
  <c r="I47"/>
  <c r="I48"/>
  <c r="I49"/>
  <c r="I50"/>
  <c r="E41"/>
  <c r="G41"/>
  <c r="I41"/>
  <c r="I37"/>
  <c r="I38"/>
  <c r="I39"/>
  <c r="G37"/>
  <c r="G38"/>
  <c r="G39"/>
  <c r="E37"/>
  <c r="E38"/>
  <c r="E39"/>
  <c r="E36"/>
  <c r="G36"/>
  <c r="I36"/>
  <c r="I19"/>
  <c r="I20"/>
  <c r="I21"/>
  <c r="I22"/>
  <c r="I23"/>
  <c r="I24"/>
  <c r="I25"/>
  <c r="I26"/>
  <c r="I27"/>
  <c r="I18"/>
  <c r="I11"/>
  <c r="I12"/>
  <c r="I13"/>
  <c r="I14"/>
  <c r="I15"/>
  <c r="I16"/>
  <c r="I10"/>
  <c r="I9"/>
  <c r="A2"/>
  <c r="D51"/>
  <c r="F51"/>
  <c r="B51" s="1"/>
  <c r="H51"/>
  <c r="J51"/>
  <c r="D8"/>
  <c r="F8"/>
  <c r="H8"/>
  <c r="J8"/>
  <c r="D17"/>
  <c r="F17"/>
  <c r="H17"/>
  <c r="J17"/>
  <c r="B17"/>
  <c r="D35"/>
  <c r="F35"/>
  <c r="F56" s="1"/>
  <c r="H35"/>
  <c r="J35"/>
  <c r="J56" s="1"/>
  <c r="D40"/>
  <c r="F40"/>
  <c r="B40" s="1"/>
  <c r="H40"/>
  <c r="J40"/>
  <c r="N8"/>
  <c r="P8"/>
  <c r="R8"/>
  <c r="T8" s="1"/>
  <c r="P17"/>
  <c r="N17"/>
  <c r="R17"/>
  <c r="N35"/>
  <c r="P35"/>
  <c r="R35"/>
  <c r="T35" s="1"/>
  <c r="P40"/>
  <c r="R40"/>
  <c r="T40" s="1"/>
  <c r="P51"/>
  <c r="R51"/>
  <c r="D56"/>
  <c r="H56"/>
  <c r="F8" i="147"/>
  <c r="A2" i="19"/>
  <c r="G9"/>
  <c r="G10"/>
  <c r="G11"/>
  <c r="G12"/>
  <c r="G13"/>
  <c r="G14"/>
  <c r="G15"/>
  <c r="G18"/>
  <c r="G19"/>
  <c r="G20"/>
  <c r="G21"/>
  <c r="G22"/>
  <c r="G23"/>
  <c r="G24"/>
  <c r="G25"/>
  <c r="G29"/>
  <c r="G30"/>
  <c r="G31"/>
  <c r="G34"/>
  <c r="G35"/>
  <c r="G36"/>
  <c r="G37"/>
  <c r="G38"/>
  <c r="G39"/>
  <c r="G40"/>
  <c r="G41"/>
  <c r="G42"/>
  <c r="G45"/>
  <c r="G46"/>
  <c r="G47"/>
  <c r="G44"/>
  <c r="G33"/>
  <c r="G28"/>
  <c r="G17"/>
  <c r="G8"/>
  <c r="D34"/>
  <c r="D35"/>
  <c r="D36"/>
  <c r="D37"/>
  <c r="D38"/>
  <c r="D39"/>
  <c r="D40"/>
  <c r="D41"/>
  <c r="D42"/>
  <c r="D45"/>
  <c r="D46"/>
  <c r="D47"/>
  <c r="D44"/>
  <c r="D33"/>
  <c r="D29"/>
  <c r="D30"/>
  <c r="D31"/>
  <c r="D28"/>
  <c r="D18"/>
  <c r="D19"/>
  <c r="D20"/>
  <c r="D21"/>
  <c r="D22"/>
  <c r="D23"/>
  <c r="D24"/>
  <c r="D25"/>
  <c r="D26"/>
  <c r="D17"/>
  <c r="D9"/>
  <c r="D10"/>
  <c r="D11"/>
  <c r="D12"/>
  <c r="D13"/>
  <c r="D14"/>
  <c r="D15"/>
  <c r="D8"/>
  <c r="A2" i="9"/>
  <c r="A2" i="147"/>
  <c r="B26"/>
  <c r="C21" s="1"/>
  <c r="D26"/>
  <c r="E11" s="1"/>
  <c r="F9"/>
  <c r="F10"/>
  <c r="F11"/>
  <c r="F12"/>
  <c r="F13"/>
  <c r="F14"/>
  <c r="F15"/>
  <c r="F16"/>
  <c r="F17"/>
  <c r="F18"/>
  <c r="F19"/>
  <c r="F20"/>
  <c r="F21"/>
  <c r="F22"/>
  <c r="F23"/>
  <c r="F24"/>
  <c r="F25"/>
  <c r="H26"/>
  <c r="I11" s="1"/>
  <c r="J26"/>
  <c r="L8"/>
  <c r="L9"/>
  <c r="L10"/>
  <c r="L11"/>
  <c r="L12"/>
  <c r="L13"/>
  <c r="L14"/>
  <c r="L15"/>
  <c r="L16"/>
  <c r="L17"/>
  <c r="L18"/>
  <c r="L19"/>
  <c r="L20"/>
  <c r="L21"/>
  <c r="L22"/>
  <c r="L23"/>
  <c r="L24"/>
  <c r="L25"/>
  <c r="N8"/>
  <c r="N9"/>
  <c r="N10"/>
  <c r="N11"/>
  <c r="N12"/>
  <c r="N13"/>
  <c r="N14"/>
  <c r="N15"/>
  <c r="N16"/>
  <c r="N17"/>
  <c r="N18"/>
  <c r="N19"/>
  <c r="N20"/>
  <c r="N21"/>
  <c r="N22"/>
  <c r="N23"/>
  <c r="N24"/>
  <c r="N25"/>
  <c r="P8"/>
  <c r="P9"/>
  <c r="P10"/>
  <c r="P11"/>
  <c r="P12"/>
  <c r="P13"/>
  <c r="P14"/>
  <c r="P15"/>
  <c r="P16"/>
  <c r="P17"/>
  <c r="P18"/>
  <c r="P19"/>
  <c r="P20"/>
  <c r="P21"/>
  <c r="P22"/>
  <c r="P23"/>
  <c r="P24"/>
  <c r="P25"/>
  <c r="P26"/>
  <c r="R9"/>
  <c r="R11"/>
  <c r="R13"/>
  <c r="R15"/>
  <c r="R17"/>
  <c r="R19"/>
  <c r="R21"/>
  <c r="R23"/>
  <c r="R25"/>
  <c r="E9"/>
  <c r="E13"/>
  <c r="E18"/>
  <c r="E22"/>
  <c r="D53" i="16"/>
  <c r="D141" s="1"/>
  <c r="D87"/>
  <c r="D104"/>
  <c r="C53"/>
  <c r="C141" s="1"/>
  <c r="C87"/>
  <c r="C104"/>
  <c r="E87"/>
  <c r="G87" s="1"/>
  <c r="F87"/>
  <c r="A2"/>
  <c r="G121"/>
  <c r="G122"/>
  <c r="G123"/>
  <c r="G124"/>
  <c r="G125"/>
  <c r="G126"/>
  <c r="G127"/>
  <c r="G128"/>
  <c r="G129"/>
  <c r="G130"/>
  <c r="G131"/>
  <c r="G132"/>
  <c r="G133"/>
  <c r="G134"/>
  <c r="G135"/>
  <c r="G136"/>
  <c r="G137"/>
  <c r="G138"/>
  <c r="G139"/>
  <c r="F121"/>
  <c r="F122"/>
  <c r="F123"/>
  <c r="F124"/>
  <c r="F125"/>
  <c r="F126"/>
  <c r="F127"/>
  <c r="F128"/>
  <c r="F129"/>
  <c r="F130"/>
  <c r="F131"/>
  <c r="F132"/>
  <c r="F133"/>
  <c r="F134"/>
  <c r="F135"/>
  <c r="F136"/>
  <c r="F137"/>
  <c r="F138"/>
  <c r="F139"/>
  <c r="G105"/>
  <c r="G106"/>
  <c r="G107"/>
  <c r="G108"/>
  <c r="G109"/>
  <c r="G110"/>
  <c r="G111"/>
  <c r="G112"/>
  <c r="G113"/>
  <c r="G114"/>
  <c r="G115"/>
  <c r="G116"/>
  <c r="G117"/>
  <c r="G118"/>
  <c r="G119"/>
  <c r="G120"/>
  <c r="F105"/>
  <c r="F106"/>
  <c r="F107"/>
  <c r="F108"/>
  <c r="F109"/>
  <c r="F110"/>
  <c r="F111"/>
  <c r="F112"/>
  <c r="F113"/>
  <c r="F114"/>
  <c r="F115"/>
  <c r="F116"/>
  <c r="F117"/>
  <c r="F118"/>
  <c r="F119"/>
  <c r="F120"/>
  <c r="G88"/>
  <c r="G89"/>
  <c r="G90"/>
  <c r="G91"/>
  <c r="G92"/>
  <c r="G93"/>
  <c r="G94"/>
  <c r="G95"/>
  <c r="G96"/>
  <c r="G97"/>
  <c r="F88"/>
  <c r="F89"/>
  <c r="F90"/>
  <c r="F91"/>
  <c r="F92"/>
  <c r="F93"/>
  <c r="F94"/>
  <c r="F95"/>
  <c r="F96"/>
  <c r="F97"/>
  <c r="G69"/>
  <c r="G70"/>
  <c r="G71"/>
  <c r="G72"/>
  <c r="G73"/>
  <c r="G74"/>
  <c r="G75"/>
  <c r="G76"/>
  <c r="G77"/>
  <c r="G78"/>
  <c r="G79"/>
  <c r="G80"/>
  <c r="G81"/>
  <c r="G82"/>
  <c r="G83"/>
  <c r="F69"/>
  <c r="F70"/>
  <c r="F71"/>
  <c r="F72"/>
  <c r="F73"/>
  <c r="F74"/>
  <c r="F75"/>
  <c r="F76"/>
  <c r="F77"/>
  <c r="F78"/>
  <c r="F79"/>
  <c r="F80"/>
  <c r="F81"/>
  <c r="F82"/>
  <c r="F83"/>
  <c r="G54"/>
  <c r="G55"/>
  <c r="G56"/>
  <c r="G57"/>
  <c r="G58"/>
  <c r="G59"/>
  <c r="G60"/>
  <c r="G61"/>
  <c r="G62"/>
  <c r="G63"/>
  <c r="G64"/>
  <c r="G65"/>
  <c r="G66"/>
  <c r="G67"/>
  <c r="G68"/>
  <c r="F54"/>
  <c r="F55"/>
  <c r="F56"/>
  <c r="F57"/>
  <c r="F58"/>
  <c r="F59"/>
  <c r="F60"/>
  <c r="F61"/>
  <c r="F62"/>
  <c r="F63"/>
  <c r="F64"/>
  <c r="F65"/>
  <c r="F66"/>
  <c r="F67"/>
  <c r="F68"/>
  <c r="G28"/>
  <c r="G29"/>
  <c r="G30"/>
  <c r="G31"/>
  <c r="G32"/>
  <c r="G33"/>
  <c r="G34"/>
  <c r="G35"/>
  <c r="G36"/>
  <c r="G37"/>
  <c r="G38"/>
  <c r="G39"/>
  <c r="G40"/>
  <c r="G41"/>
  <c r="G42"/>
  <c r="G43"/>
  <c r="F30"/>
  <c r="F31"/>
  <c r="F32"/>
  <c r="F33"/>
  <c r="F34"/>
  <c r="F35"/>
  <c r="F36"/>
  <c r="F37"/>
  <c r="F38"/>
  <c r="F39"/>
  <c r="F40"/>
  <c r="F41"/>
  <c r="F42"/>
  <c r="F43"/>
  <c r="G10"/>
  <c r="G11"/>
  <c r="G12"/>
  <c r="G13"/>
  <c r="G14"/>
  <c r="G15"/>
  <c r="G16"/>
  <c r="G17"/>
  <c r="G18"/>
  <c r="G19"/>
  <c r="G20"/>
  <c r="G21"/>
  <c r="G22"/>
  <c r="G23"/>
  <c r="G24"/>
  <c r="G25"/>
  <c r="G26"/>
  <c r="G27"/>
  <c r="F11"/>
  <c r="F12"/>
  <c r="F13"/>
  <c r="F14"/>
  <c r="F15"/>
  <c r="F16"/>
  <c r="F17"/>
  <c r="F18"/>
  <c r="F19"/>
  <c r="F20"/>
  <c r="F21"/>
  <c r="F22"/>
  <c r="F23"/>
  <c r="F24"/>
  <c r="F25"/>
  <c r="F26"/>
  <c r="F27"/>
  <c r="F28"/>
  <c r="F29"/>
  <c r="F10"/>
  <c r="G46"/>
  <c r="F46"/>
  <c r="G45"/>
  <c r="F45"/>
  <c r="G44"/>
  <c r="F44"/>
  <c r="A2" i="134"/>
  <c r="I12"/>
  <c r="I13"/>
  <c r="I14"/>
  <c r="H12"/>
  <c r="J12" s="1"/>
  <c r="H13"/>
  <c r="H14"/>
  <c r="J14" s="1"/>
  <c r="G12"/>
  <c r="G13"/>
  <c r="G14"/>
  <c r="D12"/>
  <c r="D13"/>
  <c r="D14"/>
  <c r="A2" i="146"/>
  <c r="B7"/>
  <c r="C7"/>
  <c r="D8"/>
  <c r="D11"/>
  <c r="D12"/>
  <c r="D9"/>
  <c r="D10"/>
  <c r="E7"/>
  <c r="F7"/>
  <c r="G8"/>
  <c r="G11"/>
  <c r="G12"/>
  <c r="G9"/>
  <c r="G10"/>
  <c r="G14"/>
  <c r="G13"/>
  <c r="G15"/>
  <c r="G7" s="1"/>
  <c r="H8"/>
  <c r="H11"/>
  <c r="J11" s="1"/>
  <c r="H12"/>
  <c r="H9"/>
  <c r="H7" s="1"/>
  <c r="H10"/>
  <c r="H14"/>
  <c r="J14" s="1"/>
  <c r="H13"/>
  <c r="H15"/>
  <c r="J15" s="1"/>
  <c r="I8"/>
  <c r="I11"/>
  <c r="I12"/>
  <c r="I9"/>
  <c r="I10"/>
  <c r="I14"/>
  <c r="I13"/>
  <c r="I15"/>
  <c r="J8"/>
  <c r="J12"/>
  <c r="J10"/>
  <c r="J13"/>
  <c r="D13"/>
  <c r="D14"/>
  <c r="D15"/>
  <c r="B16"/>
  <c r="C16"/>
  <c r="D17"/>
  <c r="D22"/>
  <c r="D23"/>
  <c r="D21"/>
  <c r="D18"/>
  <c r="D19"/>
  <c r="D20"/>
  <c r="E16"/>
  <c r="F16"/>
  <c r="G17"/>
  <c r="G22"/>
  <c r="G23"/>
  <c r="G21"/>
  <c r="G18"/>
  <c r="G19"/>
  <c r="G26"/>
  <c r="G25"/>
  <c r="G24"/>
  <c r="H17"/>
  <c r="J17" s="1"/>
  <c r="H22"/>
  <c r="H23"/>
  <c r="J23" s="1"/>
  <c r="H21"/>
  <c r="H18"/>
  <c r="J18" s="1"/>
  <c r="H19"/>
  <c r="H20"/>
  <c r="J20" s="1"/>
  <c r="H26"/>
  <c r="H25"/>
  <c r="J25" s="1"/>
  <c r="H24"/>
  <c r="H16"/>
  <c r="I17"/>
  <c r="I22"/>
  <c r="I23"/>
  <c r="I21"/>
  <c r="I18"/>
  <c r="I19"/>
  <c r="I20"/>
  <c r="I26"/>
  <c r="I25"/>
  <c r="I24"/>
  <c r="I16" s="1"/>
  <c r="J22"/>
  <c r="J21"/>
  <c r="J19"/>
  <c r="J26"/>
  <c r="J24"/>
  <c r="G20"/>
  <c r="G16" s="1"/>
  <c r="D24"/>
  <c r="D25"/>
  <c r="D26"/>
  <c r="B27"/>
  <c r="C27"/>
  <c r="D28"/>
  <c r="D29"/>
  <c r="D30"/>
  <c r="D31"/>
  <c r="E27"/>
  <c r="F27"/>
  <c r="G28"/>
  <c r="G29"/>
  <c r="G30"/>
  <c r="H28"/>
  <c r="H29"/>
  <c r="H27" s="1"/>
  <c r="H30"/>
  <c r="H31"/>
  <c r="J31" s="1"/>
  <c r="I28"/>
  <c r="I29"/>
  <c r="I30"/>
  <c r="I31"/>
  <c r="J28"/>
  <c r="J30"/>
  <c r="G31"/>
  <c r="B32"/>
  <c r="B48" s="1"/>
  <c r="C32"/>
  <c r="D33"/>
  <c r="D34"/>
  <c r="D37"/>
  <c r="D38"/>
  <c r="D39"/>
  <c r="D36"/>
  <c r="D35"/>
  <c r="D40"/>
  <c r="D41"/>
  <c r="D32" s="1"/>
  <c r="E32"/>
  <c r="F32"/>
  <c r="F48" s="1"/>
  <c r="G48" s="1"/>
  <c r="G33"/>
  <c r="G34"/>
  <c r="G37"/>
  <c r="G38"/>
  <c r="G39"/>
  <c r="G36"/>
  <c r="G35"/>
  <c r="G40"/>
  <c r="G42"/>
  <c r="H33"/>
  <c r="J33" s="1"/>
  <c r="H34"/>
  <c r="H37"/>
  <c r="J37" s="1"/>
  <c r="H38"/>
  <c r="H39"/>
  <c r="J39" s="1"/>
  <c r="H36"/>
  <c r="H35"/>
  <c r="J35" s="1"/>
  <c r="H40"/>
  <c r="H41"/>
  <c r="J41" s="1"/>
  <c r="H42"/>
  <c r="H32"/>
  <c r="I33"/>
  <c r="I34"/>
  <c r="I37"/>
  <c r="I38"/>
  <c r="I39"/>
  <c r="I36"/>
  <c r="I35"/>
  <c r="I40"/>
  <c r="I41"/>
  <c r="I42"/>
  <c r="I32" s="1"/>
  <c r="J34"/>
  <c r="J38"/>
  <c r="J36"/>
  <c r="J40"/>
  <c r="J42"/>
  <c r="G41"/>
  <c r="G32" s="1"/>
  <c r="D42"/>
  <c r="B43"/>
  <c r="C43"/>
  <c r="D44"/>
  <c r="D46"/>
  <c r="D45"/>
  <c r="D47"/>
  <c r="E43"/>
  <c r="F43"/>
  <c r="H44"/>
  <c r="H46"/>
  <c r="H45"/>
  <c r="H47"/>
  <c r="I44"/>
  <c r="J44" s="1"/>
  <c r="I46"/>
  <c r="I45"/>
  <c r="J45" s="1"/>
  <c r="I47"/>
  <c r="I43"/>
  <c r="J46"/>
  <c r="J47"/>
  <c r="G44"/>
  <c r="G45"/>
  <c r="G46"/>
  <c r="G47"/>
  <c r="C48"/>
  <c r="E48"/>
  <c r="B76" i="116"/>
  <c r="P11" i="62"/>
  <c r="O11"/>
  <c r="M11"/>
  <c r="I11"/>
  <c r="E11"/>
  <c r="D13" i="39"/>
  <c r="D22"/>
  <c r="D33"/>
  <c r="D38"/>
  <c r="D49"/>
  <c r="D10" s="1"/>
  <c r="A2" i="35"/>
  <c r="C13" i="26"/>
  <c r="C22"/>
  <c r="C33"/>
  <c r="C38"/>
  <c r="C49"/>
  <c r="A2" i="10"/>
  <c r="B2" i="6"/>
  <c r="A14" i="86"/>
  <c r="A2" i="138"/>
  <c r="A2" i="100"/>
  <c r="A2" i="79"/>
  <c r="A2" i="78"/>
  <c r="A22" i="137"/>
  <c r="A2" i="75"/>
  <c r="A26" i="139"/>
  <c r="A14"/>
  <c r="A16" i="141"/>
  <c r="A2" i="50"/>
  <c r="A19"/>
  <c r="A2" i="45"/>
  <c r="A2" i="39"/>
  <c r="A2" i="37"/>
  <c r="A2" i="34"/>
  <c r="A2" i="33"/>
  <c r="A2" i="32"/>
  <c r="A2" i="31"/>
  <c r="A2" i="30"/>
  <c r="A2" i="29"/>
  <c r="A2" i="28"/>
  <c r="A2" i="27"/>
  <c r="A2" i="122"/>
  <c r="A2" i="26"/>
  <c r="A2" i="131"/>
  <c r="A2" i="133"/>
  <c r="A2" i="4"/>
  <c r="B49" i="116"/>
  <c r="B17"/>
  <c r="A2" i="107"/>
  <c r="A2" i="103"/>
  <c r="A2" i="60"/>
  <c r="A2" i="128"/>
  <c r="F37" i="77"/>
  <c r="C48" i="40"/>
  <c r="B48"/>
  <c r="C37"/>
  <c r="B37"/>
  <c r="C32"/>
  <c r="B32"/>
  <c r="B21"/>
  <c r="C12"/>
  <c r="B12"/>
  <c r="H62" i="132"/>
  <c r="J62" s="1"/>
  <c r="H61"/>
  <c r="H60" s="1"/>
  <c r="E58"/>
  <c r="E47"/>
  <c r="E42"/>
  <c r="C47"/>
  <c r="J33"/>
  <c r="J32"/>
  <c r="J31"/>
  <c r="J30"/>
  <c r="J29"/>
  <c r="J27"/>
  <c r="J26"/>
  <c r="E15"/>
  <c r="F15"/>
  <c r="G15"/>
  <c r="J16"/>
  <c r="J19"/>
  <c r="J20"/>
  <c r="J21"/>
  <c r="J22"/>
  <c r="J23"/>
  <c r="B15"/>
  <c r="B24"/>
  <c r="E34" i="105"/>
  <c r="E33"/>
  <c r="E32"/>
  <c r="E31"/>
  <c r="E30"/>
  <c r="E29"/>
  <c r="E28"/>
  <c r="E27"/>
  <c r="E26"/>
  <c r="E25"/>
  <c r="E24"/>
  <c r="E23"/>
  <c r="E22"/>
  <c r="E21"/>
  <c r="E20"/>
  <c r="E19"/>
  <c r="E18"/>
  <c r="E17"/>
  <c r="E16"/>
  <c r="E15"/>
  <c r="E14"/>
  <c r="E13"/>
  <c r="E12"/>
  <c r="E11"/>
  <c r="E10"/>
  <c r="E9"/>
  <c r="E8"/>
  <c r="E6"/>
  <c r="E7"/>
  <c r="T39" i="37"/>
  <c r="M50"/>
  <c r="J34"/>
  <c r="F16" i="126"/>
  <c r="F15"/>
  <c r="I7" i="137"/>
  <c r="I6"/>
  <c r="I8"/>
  <c r="G34" i="61"/>
  <c r="F34"/>
  <c r="E34"/>
  <c r="D34"/>
  <c r="C34"/>
  <c r="G33"/>
  <c r="F33"/>
  <c r="E33"/>
  <c r="D33"/>
  <c r="C33"/>
  <c r="G32"/>
  <c r="F32"/>
  <c r="E32"/>
  <c r="D32"/>
  <c r="C32"/>
  <c r="G31"/>
  <c r="F31"/>
  <c r="E31"/>
  <c r="D31"/>
  <c r="C31"/>
  <c r="G19" i="114"/>
  <c r="D8" i="26"/>
  <c r="D7"/>
  <c r="D6"/>
  <c r="C14" i="2"/>
  <c r="A3"/>
  <c r="A11"/>
  <c r="C28"/>
  <c r="A7"/>
  <c r="G13" i="75"/>
  <c r="G26" s="1"/>
  <c r="A19"/>
  <c r="F26"/>
  <c r="E26"/>
  <c r="D26"/>
  <c r="C26"/>
  <c r="A2" i="77"/>
  <c r="D21"/>
  <c r="F12"/>
  <c r="F21"/>
  <c r="F32"/>
  <c r="F48"/>
  <c r="G21"/>
  <c r="G32"/>
  <c r="G37"/>
  <c r="G48"/>
  <c r="D32"/>
  <c r="D37"/>
  <c r="D48"/>
  <c r="E12"/>
  <c r="E21"/>
  <c r="E32"/>
  <c r="E37"/>
  <c r="E48"/>
  <c r="C21"/>
  <c r="C32"/>
  <c r="C37"/>
  <c r="C48"/>
  <c r="B12"/>
  <c r="B21"/>
  <c r="B32"/>
  <c r="B37"/>
  <c r="B48"/>
  <c r="A2" i="85"/>
  <c r="A2" i="86"/>
  <c r="F23"/>
  <c r="E23"/>
  <c r="D23"/>
  <c r="C23"/>
  <c r="B23"/>
  <c r="F18" i="88"/>
  <c r="A2" i="90"/>
  <c r="A16"/>
  <c r="M11"/>
  <c r="J11"/>
  <c r="C10" i="137"/>
  <c r="F10"/>
  <c r="I10" s="1"/>
  <c r="C11"/>
  <c r="K31"/>
  <c r="I12"/>
  <c r="I13"/>
  <c r="I14"/>
  <c r="I15"/>
  <c r="I16"/>
  <c r="I17"/>
  <c r="I18"/>
  <c r="A2"/>
  <c r="A14" i="93"/>
  <c r="A27"/>
  <c r="A2"/>
  <c r="K32" i="78"/>
  <c r="F16"/>
  <c r="K31"/>
  <c r="F31"/>
  <c r="K16"/>
  <c r="G12" i="79"/>
  <c r="K32"/>
  <c r="A16"/>
  <c r="L12"/>
  <c r="A18" i="81"/>
  <c r="L10" i="43"/>
  <c r="A2"/>
  <c r="A2" i="84"/>
  <c r="A2" i="98"/>
  <c r="A6"/>
  <c r="A7" s="1"/>
  <c r="A8" s="1"/>
  <c r="A9" s="1"/>
  <c r="A10" s="1"/>
  <c r="A11" s="1"/>
  <c r="A12" s="1"/>
  <c r="A13" s="1"/>
  <c r="A14" s="1"/>
  <c r="A15" s="1"/>
  <c r="A16" s="1"/>
  <c r="A17" s="1"/>
  <c r="A18" s="1"/>
  <c r="A19" s="1"/>
  <c r="A20" s="1"/>
  <c r="A21" s="1"/>
  <c r="A22" s="1"/>
  <c r="A23" s="1"/>
  <c r="A24" s="1"/>
  <c r="A25" s="1"/>
  <c r="A26" s="1"/>
  <c r="A27" s="1"/>
  <c r="A28" s="1"/>
  <c r="A29" s="1"/>
  <c r="A30" s="1"/>
  <c r="A31" s="1"/>
  <c r="A32" s="1"/>
  <c r="A33" s="1"/>
  <c r="R6" i="142"/>
  <c r="R8"/>
  <c r="R10"/>
  <c r="R12"/>
  <c r="R14"/>
  <c r="R16"/>
  <c r="I16"/>
  <c r="R20"/>
  <c r="E20"/>
  <c r="G20"/>
  <c r="I20"/>
  <c r="R18"/>
  <c r="R22"/>
  <c r="R24"/>
  <c r="R34"/>
  <c r="R36"/>
  <c r="R38"/>
  <c r="R42"/>
  <c r="G42"/>
  <c r="R44"/>
  <c r="R52"/>
  <c r="E52" s="1"/>
  <c r="R26"/>
  <c r="E34"/>
  <c r="E44"/>
  <c r="R53"/>
  <c r="G53" s="1"/>
  <c r="R51"/>
  <c r="I51" s="1"/>
  <c r="E51"/>
  <c r="G51"/>
  <c r="S51"/>
  <c r="R50"/>
  <c r="E50"/>
  <c r="G50"/>
  <c r="R49"/>
  <c r="E49" s="1"/>
  <c r="R48"/>
  <c r="E48" s="1"/>
  <c r="G48"/>
  <c r="R47"/>
  <c r="E47"/>
  <c r="G47"/>
  <c r="R46"/>
  <c r="E46" s="1"/>
  <c r="R45"/>
  <c r="E45" s="1"/>
  <c r="G45"/>
  <c r="G44"/>
  <c r="R43"/>
  <c r="E43" s="1"/>
  <c r="G43"/>
  <c r="E42"/>
  <c r="R41"/>
  <c r="E41" s="1"/>
  <c r="G41"/>
  <c r="R40"/>
  <c r="E40" s="1"/>
  <c r="G40"/>
  <c r="R39"/>
  <c r="I39" s="1"/>
  <c r="E39"/>
  <c r="G39"/>
  <c r="E38"/>
  <c r="G38"/>
  <c r="R37"/>
  <c r="E37" s="1"/>
  <c r="G37"/>
  <c r="E36"/>
  <c r="G36"/>
  <c r="R35"/>
  <c r="I35" s="1"/>
  <c r="G35"/>
  <c r="G34"/>
  <c r="R27"/>
  <c r="E27" s="1"/>
  <c r="E26"/>
  <c r="G26"/>
  <c r="I26"/>
  <c r="R25"/>
  <c r="E25" s="1"/>
  <c r="G25"/>
  <c r="I25"/>
  <c r="G24"/>
  <c r="I24"/>
  <c r="R23"/>
  <c r="E23" s="1"/>
  <c r="G23"/>
  <c r="E22"/>
  <c r="G22"/>
  <c r="R21"/>
  <c r="E21" s="1"/>
  <c r="R19"/>
  <c r="E19" s="1"/>
  <c r="G19"/>
  <c r="G18"/>
  <c r="I18"/>
  <c r="R17"/>
  <c r="E17" s="1"/>
  <c r="G17"/>
  <c r="E16"/>
  <c r="G16"/>
  <c r="R15"/>
  <c r="E15" s="1"/>
  <c r="E14"/>
  <c r="G14"/>
  <c r="I14"/>
  <c r="R13"/>
  <c r="E13" s="1"/>
  <c r="G13"/>
  <c r="E12"/>
  <c r="I12"/>
  <c r="R11"/>
  <c r="E11" s="1"/>
  <c r="G11"/>
  <c r="E10"/>
  <c r="I10"/>
  <c r="R9"/>
  <c r="E9" s="1"/>
  <c r="G9"/>
  <c r="E8"/>
  <c r="I8"/>
  <c r="R7"/>
  <c r="E7"/>
  <c r="G7"/>
  <c r="I7"/>
  <c r="E6"/>
  <c r="I6"/>
  <c r="A8" i="100"/>
  <c r="A9"/>
  <c r="A10" s="1"/>
  <c r="A11" s="1"/>
  <c r="A12" s="1"/>
  <c r="A13" s="1"/>
  <c r="A14" s="1"/>
  <c r="A15" s="1"/>
  <c r="A16" s="1"/>
  <c r="A17" s="1"/>
  <c r="A18" s="1"/>
  <c r="A19" s="1"/>
  <c r="A20" s="1"/>
  <c r="A21" s="1"/>
  <c r="A22" s="1"/>
  <c r="A23" s="1"/>
  <c r="A24" s="1"/>
  <c r="A25" s="1"/>
  <c r="A26" s="1"/>
  <c r="A27" s="1"/>
  <c r="A28" s="1"/>
  <c r="A29" s="1"/>
  <c r="A30" s="1"/>
  <c r="A31" s="1"/>
  <c r="A32" s="1"/>
  <c r="A33" s="1"/>
  <c r="A34" s="1"/>
  <c r="A35" s="1"/>
  <c r="X7" i="138"/>
  <c r="X8"/>
  <c r="X9" s="1"/>
  <c r="X10" s="1"/>
  <c r="X11" s="1"/>
  <c r="X12" s="1"/>
  <c r="X13" s="1"/>
  <c r="X14" s="1"/>
  <c r="X15" s="1"/>
  <c r="X16" s="1"/>
  <c r="X17" s="1"/>
  <c r="X18" s="1"/>
  <c r="X19" s="1"/>
  <c r="X20" s="1"/>
  <c r="X21" s="1"/>
  <c r="X22" s="1"/>
  <c r="X23" s="1"/>
  <c r="X24" s="1"/>
  <c r="X25" s="1"/>
  <c r="X26" s="1"/>
  <c r="X27" s="1"/>
  <c r="X28" s="1"/>
  <c r="X29" s="1"/>
  <c r="X30" s="1"/>
  <c r="X31" s="1"/>
  <c r="X32" s="1"/>
  <c r="X33" s="1"/>
  <c r="X34" s="1"/>
  <c r="A7"/>
  <c r="A8"/>
  <c r="A9" s="1"/>
  <c r="A10" s="1"/>
  <c r="A11" s="1"/>
  <c r="A12" s="1"/>
  <c r="A13" s="1"/>
  <c r="A14" s="1"/>
  <c r="A15" s="1"/>
  <c r="A16" s="1"/>
  <c r="A17" s="1"/>
  <c r="A18" s="1"/>
  <c r="A19" s="1"/>
  <c r="A20" s="1"/>
  <c r="Q30" i="102"/>
  <c r="P30"/>
  <c r="P29"/>
  <c r="P28"/>
  <c r="P27"/>
  <c r="P26"/>
  <c r="Q23"/>
  <c r="Q18"/>
  <c r="P18"/>
  <c r="Q17"/>
  <c r="P17"/>
  <c r="Q16"/>
  <c r="P16"/>
  <c r="P15"/>
  <c r="P14"/>
  <c r="Q13"/>
  <c r="P13"/>
  <c r="Q12"/>
  <c r="P12"/>
  <c r="P11"/>
  <c r="P9"/>
  <c r="Q8"/>
  <c r="P8"/>
  <c r="A2"/>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6" i="103"/>
  <c r="A7" s="1"/>
  <c r="A8" s="1"/>
  <c r="A9" s="1"/>
  <c r="A10" s="1"/>
  <c r="A11" s="1"/>
  <c r="A12" s="1"/>
  <c r="A13" s="1"/>
  <c r="A14" s="1"/>
  <c r="A15" s="1"/>
  <c r="A16" s="1"/>
  <c r="A17" s="1"/>
  <c r="A18" s="1"/>
  <c r="A19" s="1"/>
  <c r="A20" s="1"/>
  <c r="A21" s="1"/>
  <c r="A22" s="1"/>
  <c r="A23" s="1"/>
  <c r="A24" s="1"/>
  <c r="A25" s="1"/>
  <c r="A26" s="1"/>
  <c r="A27" s="1"/>
  <c r="A28" s="1"/>
  <c r="A29" s="1"/>
  <c r="A30" s="1"/>
  <c r="A31" s="1"/>
  <c r="A32" s="1"/>
  <c r="A33" s="1"/>
  <c r="R15" i="6"/>
  <c r="R21"/>
  <c r="B56"/>
  <c r="G40"/>
  <c r="G51"/>
  <c r="G8"/>
  <c r="G17"/>
  <c r="G35"/>
  <c r="F40"/>
  <c r="F51"/>
  <c r="F8"/>
  <c r="F17"/>
  <c r="F35"/>
  <c r="E40"/>
  <c r="E51"/>
  <c r="E17"/>
  <c r="E35"/>
  <c r="D40"/>
  <c r="D51"/>
  <c r="D8"/>
  <c r="D17"/>
  <c r="D35"/>
  <c r="R52"/>
  <c r="R53"/>
  <c r="R54"/>
  <c r="R55"/>
  <c r="J40"/>
  <c r="J8"/>
  <c r="J17"/>
  <c r="J35"/>
  <c r="J51"/>
  <c r="K40"/>
  <c r="K8"/>
  <c r="K17"/>
  <c r="K35"/>
  <c r="K51"/>
  <c r="L40"/>
  <c r="R42"/>
  <c r="R43"/>
  <c r="R44"/>
  <c r="R45"/>
  <c r="R46"/>
  <c r="R47"/>
  <c r="R48"/>
  <c r="R49"/>
  <c r="R50"/>
  <c r="L51"/>
  <c r="N51"/>
  <c r="P51"/>
  <c r="Q51"/>
  <c r="R41"/>
  <c r="R37"/>
  <c r="R38"/>
  <c r="R39"/>
  <c r="R36"/>
  <c r="R19"/>
  <c r="R20"/>
  <c r="R22"/>
  <c r="R23"/>
  <c r="R24"/>
  <c r="R25"/>
  <c r="R26"/>
  <c r="R27"/>
  <c r="R18"/>
  <c r="R17" s="1"/>
  <c r="R10"/>
  <c r="R11"/>
  <c r="R12"/>
  <c r="R13"/>
  <c r="R14"/>
  <c r="R16"/>
  <c r="R9"/>
  <c r="N8"/>
  <c r="N17"/>
  <c r="N35"/>
  <c r="N40"/>
  <c r="O8"/>
  <c r="O17"/>
  <c r="O35"/>
  <c r="O40"/>
  <c r="O51"/>
  <c r="P8"/>
  <c r="P17"/>
  <c r="P35"/>
  <c r="P40"/>
  <c r="Q8"/>
  <c r="Q17"/>
  <c r="Q35"/>
  <c r="Q40"/>
  <c r="M51"/>
  <c r="M40"/>
  <c r="L35"/>
  <c r="M35"/>
  <c r="L17"/>
  <c r="M17"/>
  <c r="L8"/>
  <c r="M8"/>
  <c r="B15" i="133"/>
  <c r="C7" s="1"/>
  <c r="D15"/>
  <c r="E7" s="1"/>
  <c r="C8"/>
  <c r="C10"/>
  <c r="C13"/>
  <c r="E14"/>
  <c r="E15"/>
  <c r="AB39" i="135"/>
  <c r="AC39"/>
  <c r="AD39" s="1"/>
  <c r="AB40"/>
  <c r="AC40"/>
  <c r="AD40" s="1"/>
  <c r="AB41"/>
  <c r="AC41"/>
  <c r="AB42"/>
  <c r="AC42"/>
  <c r="AD42"/>
  <c r="AB43"/>
  <c r="AC43"/>
  <c r="AD43" s="1"/>
  <c r="AB44"/>
  <c r="AC44"/>
  <c r="AD44" s="1"/>
  <c r="AB45"/>
  <c r="AC45"/>
  <c r="AB46"/>
  <c r="AC46"/>
  <c r="AD46"/>
  <c r="AB47"/>
  <c r="AC47"/>
  <c r="AD47" s="1"/>
  <c r="AB48"/>
  <c r="AC48"/>
  <c r="AD48" s="1"/>
  <c r="AC38"/>
  <c r="AA39"/>
  <c r="AA40"/>
  <c r="AA38" s="1"/>
  <c r="AA41"/>
  <c r="AA42"/>
  <c r="AA43"/>
  <c r="AA44"/>
  <c r="AA45"/>
  <c r="AA46"/>
  <c r="AA47"/>
  <c r="AA48"/>
  <c r="Z38"/>
  <c r="Y38"/>
  <c r="X40"/>
  <c r="X44"/>
  <c r="X45"/>
  <c r="X48"/>
  <c r="W38"/>
  <c r="V38"/>
  <c r="U39"/>
  <c r="U41"/>
  <c r="U45"/>
  <c r="U46"/>
  <c r="U38"/>
  <c r="T38"/>
  <c r="S38"/>
  <c r="R39"/>
  <c r="R40"/>
  <c r="R41"/>
  <c r="R43"/>
  <c r="R44"/>
  <c r="R45"/>
  <c r="R46"/>
  <c r="R47"/>
  <c r="R48"/>
  <c r="R38"/>
  <c r="Q38"/>
  <c r="P38"/>
  <c r="M39"/>
  <c r="M40"/>
  <c r="M41"/>
  <c r="M42"/>
  <c r="M43"/>
  <c r="M44"/>
  <c r="M45"/>
  <c r="M46"/>
  <c r="M47"/>
  <c r="M48"/>
  <c r="L38"/>
  <c r="K38"/>
  <c r="J39"/>
  <c r="J40"/>
  <c r="J38" s="1"/>
  <c r="J41"/>
  <c r="J42"/>
  <c r="J43"/>
  <c r="J44"/>
  <c r="J45"/>
  <c r="J46"/>
  <c r="J47"/>
  <c r="J48"/>
  <c r="I38"/>
  <c r="H38"/>
  <c r="G39"/>
  <c r="G40"/>
  <c r="G41"/>
  <c r="G42"/>
  <c r="G43"/>
  <c r="G44"/>
  <c r="G45"/>
  <c r="G46"/>
  <c r="G47"/>
  <c r="G48"/>
  <c r="F38"/>
  <c r="E38"/>
  <c r="D39"/>
  <c r="D40"/>
  <c r="D41"/>
  <c r="D42"/>
  <c r="D43"/>
  <c r="D44"/>
  <c r="D45"/>
  <c r="D46"/>
  <c r="D47"/>
  <c r="D48"/>
  <c r="D38"/>
  <c r="C38"/>
  <c r="B38"/>
  <c r="AC53"/>
  <c r="AB53"/>
  <c r="AD53" s="1"/>
  <c r="AC52"/>
  <c r="AB52"/>
  <c r="AC51"/>
  <c r="AB51"/>
  <c r="AD51" s="1"/>
  <c r="AD49" s="1"/>
  <c r="AC50"/>
  <c r="AB50"/>
  <c r="AC37"/>
  <c r="AB37"/>
  <c r="AD37" s="1"/>
  <c r="AC36"/>
  <c r="AB36"/>
  <c r="AC35"/>
  <c r="AB35"/>
  <c r="AD35" s="1"/>
  <c r="AD33" s="1"/>
  <c r="AC34"/>
  <c r="AB34"/>
  <c r="AB33" s="1"/>
  <c r="AC26"/>
  <c r="AB26"/>
  <c r="AC25"/>
  <c r="AB25"/>
  <c r="AD25" s="1"/>
  <c r="AC24"/>
  <c r="AB24"/>
  <c r="AC23"/>
  <c r="AB23"/>
  <c r="AD23" s="1"/>
  <c r="AC22"/>
  <c r="AB22"/>
  <c r="AC21"/>
  <c r="AB21"/>
  <c r="AD21" s="1"/>
  <c r="AC20"/>
  <c r="AB20"/>
  <c r="AC19"/>
  <c r="AB19"/>
  <c r="AD19" s="1"/>
  <c r="AC18"/>
  <c r="AB18"/>
  <c r="AC17"/>
  <c r="AB17"/>
  <c r="AD17" s="1"/>
  <c r="AD16" s="1"/>
  <c r="AC15"/>
  <c r="AB15"/>
  <c r="AC14"/>
  <c r="AB14"/>
  <c r="AD14" s="1"/>
  <c r="AC13"/>
  <c r="AB13"/>
  <c r="AD13" s="1"/>
  <c r="AC12"/>
  <c r="AB12"/>
  <c r="AD12" s="1"/>
  <c r="AC11"/>
  <c r="AB11"/>
  <c r="AC10"/>
  <c r="AB10"/>
  <c r="AD10" s="1"/>
  <c r="AC9"/>
  <c r="AB9"/>
  <c r="AD9" s="1"/>
  <c r="AC8"/>
  <c r="AB8"/>
  <c r="AD8" s="1"/>
  <c r="E16"/>
  <c r="F16"/>
  <c r="AD11"/>
  <c r="AD15"/>
  <c r="AD18"/>
  <c r="AD20"/>
  <c r="AD22"/>
  <c r="AD24"/>
  <c r="AD26"/>
  <c r="AD34"/>
  <c r="AD36"/>
  <c r="AD50"/>
  <c r="AD52"/>
  <c r="AC7"/>
  <c r="AC16"/>
  <c r="AC33"/>
  <c r="AC49"/>
  <c r="AC54" s="1"/>
  <c r="AB16"/>
  <c r="AB49"/>
  <c r="AA8"/>
  <c r="AA9"/>
  <c r="AA7" s="1"/>
  <c r="AA10"/>
  <c r="AA11"/>
  <c r="AA12"/>
  <c r="AA13"/>
  <c r="AA14"/>
  <c r="AA15"/>
  <c r="AA17"/>
  <c r="AA18"/>
  <c r="AA19"/>
  <c r="AA20"/>
  <c r="AA21"/>
  <c r="AA22"/>
  <c r="AA23"/>
  <c r="AA24"/>
  <c r="AA25"/>
  <c r="AA26"/>
  <c r="AA34"/>
  <c r="AA35"/>
  <c r="AA36"/>
  <c r="AA37"/>
  <c r="AA33"/>
  <c r="AA50"/>
  <c r="AA51"/>
  <c r="AA52"/>
  <c r="AA53"/>
  <c r="Z7"/>
  <c r="Z16"/>
  <c r="Z33"/>
  <c r="Z49"/>
  <c r="Z54" s="1"/>
  <c r="Y7"/>
  <c r="Y16"/>
  <c r="Y33"/>
  <c r="Y49"/>
  <c r="Y54" s="1"/>
  <c r="X8"/>
  <c r="X9"/>
  <c r="X10"/>
  <c r="X11"/>
  <c r="X13"/>
  <c r="X14"/>
  <c r="X17"/>
  <c r="X18"/>
  <c r="X19"/>
  <c r="X21"/>
  <c r="X22"/>
  <c r="X24"/>
  <c r="X25"/>
  <c r="X26"/>
  <c r="X16"/>
  <c r="X35"/>
  <c r="X36"/>
  <c r="X37"/>
  <c r="X33"/>
  <c r="X51"/>
  <c r="X52"/>
  <c r="X53"/>
  <c r="X49"/>
  <c r="W7"/>
  <c r="W16"/>
  <c r="W33"/>
  <c r="W49"/>
  <c r="W54" s="1"/>
  <c r="V7"/>
  <c r="V16"/>
  <c r="V33"/>
  <c r="V49"/>
  <c r="U8"/>
  <c r="U9"/>
  <c r="U10"/>
  <c r="U11"/>
  <c r="U12"/>
  <c r="U13"/>
  <c r="U14"/>
  <c r="U18"/>
  <c r="U19"/>
  <c r="U20"/>
  <c r="U21"/>
  <c r="U22"/>
  <c r="U24"/>
  <c r="U26"/>
  <c r="U35"/>
  <c r="U33" s="1"/>
  <c r="U52"/>
  <c r="U53"/>
  <c r="U49" s="1"/>
  <c r="T7"/>
  <c r="T16"/>
  <c r="T33"/>
  <c r="T49"/>
  <c r="T54"/>
  <c r="S7"/>
  <c r="S16"/>
  <c r="S33"/>
  <c r="S49"/>
  <c r="S54" s="1"/>
  <c r="R8"/>
  <c r="R9"/>
  <c r="R7" s="1"/>
  <c r="R10"/>
  <c r="R11"/>
  <c r="R12"/>
  <c r="R13"/>
  <c r="R14"/>
  <c r="R15"/>
  <c r="R17"/>
  <c r="R16" s="1"/>
  <c r="R18"/>
  <c r="R19"/>
  <c r="R20"/>
  <c r="R21"/>
  <c r="R22"/>
  <c r="R23"/>
  <c r="R25"/>
  <c r="R26"/>
  <c r="R34"/>
  <c r="R35"/>
  <c r="R36"/>
  <c r="R37"/>
  <c r="R50"/>
  <c r="R52"/>
  <c r="R53"/>
  <c r="Q7"/>
  <c r="Q16"/>
  <c r="Q33"/>
  <c r="Q49"/>
  <c r="Q54" s="1"/>
  <c r="P7"/>
  <c r="P16"/>
  <c r="P33"/>
  <c r="P49"/>
  <c r="P54" s="1"/>
  <c r="M8"/>
  <c r="M9"/>
  <c r="M10"/>
  <c r="M11"/>
  <c r="M12"/>
  <c r="M13"/>
  <c r="M14"/>
  <c r="M15"/>
  <c r="M17"/>
  <c r="M18"/>
  <c r="M19"/>
  <c r="M20"/>
  <c r="M21"/>
  <c r="M22"/>
  <c r="M25"/>
  <c r="M26"/>
  <c r="M16"/>
  <c r="M34"/>
  <c r="M35"/>
  <c r="M36"/>
  <c r="M37"/>
  <c r="M50"/>
  <c r="M51"/>
  <c r="M49" s="1"/>
  <c r="M52"/>
  <c r="M53"/>
  <c r="L7"/>
  <c r="L16"/>
  <c r="L33"/>
  <c r="L49"/>
  <c r="L54"/>
  <c r="K7"/>
  <c r="K16"/>
  <c r="K33"/>
  <c r="K49"/>
  <c r="K54" s="1"/>
  <c r="J8"/>
  <c r="J9"/>
  <c r="J7" s="1"/>
  <c r="J10"/>
  <c r="J11"/>
  <c r="J12"/>
  <c r="J13"/>
  <c r="J14"/>
  <c r="J15"/>
  <c r="J17"/>
  <c r="J18"/>
  <c r="J19"/>
  <c r="J20"/>
  <c r="J21"/>
  <c r="J22"/>
  <c r="J23"/>
  <c r="J24"/>
  <c r="J25"/>
  <c r="J26"/>
  <c r="J34"/>
  <c r="J35"/>
  <c r="J36"/>
  <c r="J37"/>
  <c r="J33"/>
  <c r="J50"/>
  <c r="J51"/>
  <c r="J52"/>
  <c r="J53"/>
  <c r="I7"/>
  <c r="I16"/>
  <c r="I33"/>
  <c r="I49"/>
  <c r="I54" s="1"/>
  <c r="H7"/>
  <c r="H16"/>
  <c r="H33"/>
  <c r="H49"/>
  <c r="H54" s="1"/>
  <c r="G8"/>
  <c r="G9"/>
  <c r="G10"/>
  <c r="G11"/>
  <c r="G12"/>
  <c r="G13"/>
  <c r="G14"/>
  <c r="G15"/>
  <c r="G17"/>
  <c r="G18"/>
  <c r="G19"/>
  <c r="G20"/>
  <c r="G21"/>
  <c r="G22"/>
  <c r="G23"/>
  <c r="G24"/>
  <c r="G25"/>
  <c r="G26"/>
  <c r="G16"/>
  <c r="G34"/>
  <c r="G35"/>
  <c r="G36"/>
  <c r="G37"/>
  <c r="G50"/>
  <c r="G51"/>
  <c r="G49" s="1"/>
  <c r="G52"/>
  <c r="G53"/>
  <c r="F7"/>
  <c r="F33"/>
  <c r="F49"/>
  <c r="F54" s="1"/>
  <c r="E7"/>
  <c r="E33"/>
  <c r="E49"/>
  <c r="E54" s="1"/>
  <c r="D8"/>
  <c r="D9"/>
  <c r="D10"/>
  <c r="D11"/>
  <c r="D12"/>
  <c r="D13"/>
  <c r="D14"/>
  <c r="D15"/>
  <c r="D17"/>
  <c r="D18"/>
  <c r="D19"/>
  <c r="D20"/>
  <c r="D21"/>
  <c r="D22"/>
  <c r="D23"/>
  <c r="D24"/>
  <c r="D25"/>
  <c r="D26"/>
  <c r="D16"/>
  <c r="D34"/>
  <c r="D35"/>
  <c r="D36"/>
  <c r="D37"/>
  <c r="D50"/>
  <c r="D51"/>
  <c r="D49" s="1"/>
  <c r="D52"/>
  <c r="D53"/>
  <c r="C7"/>
  <c r="C16"/>
  <c r="C33"/>
  <c r="C49"/>
  <c r="C54"/>
  <c r="B7"/>
  <c r="B16"/>
  <c r="B33"/>
  <c r="B49"/>
  <c r="B54" s="1"/>
  <c r="H7" i="134"/>
  <c r="I7"/>
  <c r="J7" s="1"/>
  <c r="H8"/>
  <c r="I8"/>
  <c r="H9"/>
  <c r="I9"/>
  <c r="J9"/>
  <c r="H10"/>
  <c r="I10"/>
  <c r="J10" s="1"/>
  <c r="H11"/>
  <c r="I11"/>
  <c r="J11" s="1"/>
  <c r="G7"/>
  <c r="G8"/>
  <c r="G9"/>
  <c r="G10"/>
  <c r="G11"/>
  <c r="D7"/>
  <c r="D8"/>
  <c r="D9"/>
  <c r="D10"/>
  <c r="D11"/>
  <c r="A23" i="126"/>
  <c r="A2"/>
  <c r="B41" i="9"/>
  <c r="B30"/>
  <c r="B25"/>
  <c r="D25" s="1"/>
  <c r="B14"/>
  <c r="D14" s="1"/>
  <c r="B5"/>
  <c r="D5" s="1"/>
  <c r="D31"/>
  <c r="D6"/>
  <c r="D7"/>
  <c r="D8"/>
  <c r="D9"/>
  <c r="D10"/>
  <c r="D11"/>
  <c r="D12"/>
  <c r="D13"/>
  <c r="D15"/>
  <c r="D16"/>
  <c r="D17"/>
  <c r="D18"/>
  <c r="D19"/>
  <c r="D20"/>
  <c r="D21"/>
  <c r="D22"/>
  <c r="D23"/>
  <c r="D24"/>
  <c r="D26"/>
  <c r="D27"/>
  <c r="D28"/>
  <c r="D29"/>
  <c r="D30"/>
  <c r="D32"/>
  <c r="D33"/>
  <c r="D34"/>
  <c r="D35"/>
  <c r="D36"/>
  <c r="D37"/>
  <c r="D38"/>
  <c r="D39"/>
  <c r="D40"/>
  <c r="D41"/>
  <c r="D42"/>
  <c r="D43"/>
  <c r="D44"/>
  <c r="D45"/>
  <c r="H17" i="10"/>
  <c r="I17" s="1"/>
  <c r="E17"/>
  <c r="C17"/>
  <c r="F17"/>
  <c r="C16"/>
  <c r="C15"/>
  <c r="C14"/>
  <c r="H7"/>
  <c r="H6"/>
  <c r="I6" s="1"/>
  <c r="H16"/>
  <c r="I16" s="1"/>
  <c r="H15"/>
  <c r="I15" s="1"/>
  <c r="H14"/>
  <c r="I14" s="1"/>
  <c r="H13"/>
  <c r="I13" s="1"/>
  <c r="H12"/>
  <c r="I12" s="1"/>
  <c r="H11"/>
  <c r="I11" s="1"/>
  <c r="H10"/>
  <c r="I10" s="1"/>
  <c r="H9"/>
  <c r="I9" s="1"/>
  <c r="H8"/>
  <c r="I8" s="1"/>
  <c r="I7"/>
  <c r="E16"/>
  <c r="F16" s="1"/>
  <c r="E15"/>
  <c r="F15" s="1"/>
  <c r="E14"/>
  <c r="F14" s="1"/>
  <c r="E13"/>
  <c r="F13" s="1"/>
  <c r="E12"/>
  <c r="F12" s="1"/>
  <c r="E11"/>
  <c r="F11" s="1"/>
  <c r="E10"/>
  <c r="F10" s="1"/>
  <c r="E9"/>
  <c r="F9" s="1"/>
  <c r="E8"/>
  <c r="F8" s="1"/>
  <c r="E7"/>
  <c r="F7" s="1"/>
  <c r="E6"/>
  <c r="F6" s="1"/>
  <c r="C13"/>
  <c r="C12"/>
  <c r="C11"/>
  <c r="C10"/>
  <c r="C9"/>
  <c r="C8"/>
  <c r="C7"/>
  <c r="C6"/>
  <c r="A2" i="112"/>
  <c r="B7"/>
  <c r="B48" s="1"/>
  <c r="H48" s="1"/>
  <c r="B16"/>
  <c r="B27"/>
  <c r="B32"/>
  <c r="B43"/>
  <c r="E7"/>
  <c r="E48" s="1"/>
  <c r="E16"/>
  <c r="E27"/>
  <c r="E32"/>
  <c r="E43"/>
  <c r="C7"/>
  <c r="C16"/>
  <c r="C27"/>
  <c r="C32"/>
  <c r="C43"/>
  <c r="F7"/>
  <c r="F16"/>
  <c r="F27"/>
  <c r="F32"/>
  <c r="F43"/>
  <c r="D47"/>
  <c r="D46"/>
  <c r="D45"/>
  <c r="D44"/>
  <c r="D42"/>
  <c r="D41"/>
  <c r="D40"/>
  <c r="D39"/>
  <c r="D38"/>
  <c r="D37"/>
  <c r="D36"/>
  <c r="D35"/>
  <c r="D34"/>
  <c r="D33"/>
  <c r="D31"/>
  <c r="D30"/>
  <c r="D29"/>
  <c r="D28"/>
  <c r="D26"/>
  <c r="D25"/>
  <c r="D24"/>
  <c r="D23"/>
  <c r="D22"/>
  <c r="D21"/>
  <c r="D20"/>
  <c r="D19"/>
  <c r="D18"/>
  <c r="D17"/>
  <c r="I47"/>
  <c r="I46"/>
  <c r="I45"/>
  <c r="I43" s="1"/>
  <c r="I44"/>
  <c r="I42"/>
  <c r="I41"/>
  <c r="I40"/>
  <c r="I39"/>
  <c r="I38"/>
  <c r="I37"/>
  <c r="I36"/>
  <c r="I35"/>
  <c r="I34"/>
  <c r="I32" s="1"/>
  <c r="I33"/>
  <c r="I31"/>
  <c r="I30"/>
  <c r="I29"/>
  <c r="I28"/>
  <c r="I26"/>
  <c r="I25"/>
  <c r="I24"/>
  <c r="I23"/>
  <c r="I22"/>
  <c r="I21"/>
  <c r="I20"/>
  <c r="I19"/>
  <c r="I18"/>
  <c r="I17"/>
  <c r="I15"/>
  <c r="I14"/>
  <c r="I13"/>
  <c r="I12"/>
  <c r="I11"/>
  <c r="I10"/>
  <c r="I9"/>
  <c r="I8"/>
  <c r="H47"/>
  <c r="J47" s="1"/>
  <c r="H46"/>
  <c r="H45"/>
  <c r="J45" s="1"/>
  <c r="J43" s="1"/>
  <c r="H44"/>
  <c r="H42"/>
  <c r="J42" s="1"/>
  <c r="H41"/>
  <c r="H40"/>
  <c r="J40" s="1"/>
  <c r="H39"/>
  <c r="H38"/>
  <c r="J38" s="1"/>
  <c r="H37"/>
  <c r="H36"/>
  <c r="J36" s="1"/>
  <c r="H35"/>
  <c r="H34"/>
  <c r="J34" s="1"/>
  <c r="J32" s="1"/>
  <c r="H33"/>
  <c r="H31"/>
  <c r="J31" s="1"/>
  <c r="H30"/>
  <c r="J30" s="1"/>
  <c r="H29"/>
  <c r="H28"/>
  <c r="J28" s="1"/>
  <c r="H26"/>
  <c r="H25"/>
  <c r="H24"/>
  <c r="H23"/>
  <c r="H22"/>
  <c r="H21"/>
  <c r="H20"/>
  <c r="H19"/>
  <c r="H18"/>
  <c r="H16" s="1"/>
  <c r="H17"/>
  <c r="H15"/>
  <c r="H14"/>
  <c r="H13"/>
  <c r="H12"/>
  <c r="H11"/>
  <c r="H10"/>
  <c r="H9"/>
  <c r="H8"/>
  <c r="G44"/>
  <c r="G45"/>
  <c r="G46"/>
  <c r="G47"/>
  <c r="J44"/>
  <c r="J46"/>
  <c r="H43"/>
  <c r="D43"/>
  <c r="J33"/>
  <c r="J35"/>
  <c r="J37"/>
  <c r="J39"/>
  <c r="J41"/>
  <c r="H32"/>
  <c r="G33"/>
  <c r="G35"/>
  <c r="G36"/>
  <c r="G37"/>
  <c r="G38"/>
  <c r="G39"/>
  <c r="G40"/>
  <c r="G41"/>
  <c r="G34"/>
  <c r="G42"/>
  <c r="D32"/>
  <c r="J29"/>
  <c r="I27"/>
  <c r="G28"/>
  <c r="G29"/>
  <c r="G27" s="1"/>
  <c r="G30"/>
  <c r="G31"/>
  <c r="D27"/>
  <c r="J17"/>
  <c r="J18"/>
  <c r="J16" s="1"/>
  <c r="J19"/>
  <c r="J20"/>
  <c r="J21"/>
  <c r="J22"/>
  <c r="J23"/>
  <c r="J24"/>
  <c r="J25"/>
  <c r="J26"/>
  <c r="I16"/>
  <c r="G17"/>
  <c r="G19"/>
  <c r="G20"/>
  <c r="G21"/>
  <c r="G23"/>
  <c r="G18"/>
  <c r="G22"/>
  <c r="G24"/>
  <c r="G25"/>
  <c r="G26"/>
  <c r="D16"/>
  <c r="J8"/>
  <c r="J9"/>
  <c r="J10"/>
  <c r="J11"/>
  <c r="J12"/>
  <c r="J13"/>
  <c r="J14"/>
  <c r="J15"/>
  <c r="I7"/>
  <c r="H7"/>
  <c r="G8"/>
  <c r="G9"/>
  <c r="G7" s="1"/>
  <c r="G10"/>
  <c r="G11"/>
  <c r="G12"/>
  <c r="G13"/>
  <c r="G14"/>
  <c r="G15"/>
  <c r="D13"/>
  <c r="D14"/>
  <c r="D15"/>
  <c r="D8"/>
  <c r="D9"/>
  <c r="D10"/>
  <c r="D11"/>
  <c r="D12"/>
  <c r="A2" i="129"/>
  <c r="N8"/>
  <c r="P8"/>
  <c r="R8" s="1"/>
  <c r="N9"/>
  <c r="P9"/>
  <c r="N10"/>
  <c r="P10"/>
  <c r="R10"/>
  <c r="N11"/>
  <c r="P11"/>
  <c r="R11" s="1"/>
  <c r="N12"/>
  <c r="P12"/>
  <c r="R12" s="1"/>
  <c r="N13"/>
  <c r="P13"/>
  <c r="N14"/>
  <c r="P14"/>
  <c r="R14"/>
  <c r="N15"/>
  <c r="P15"/>
  <c r="R15" s="1"/>
  <c r="N16"/>
  <c r="P16"/>
  <c r="R16" s="1"/>
  <c r="N17"/>
  <c r="P17"/>
  <c r="N18"/>
  <c r="P18"/>
  <c r="R18"/>
  <c r="N19"/>
  <c r="P19"/>
  <c r="R19" s="1"/>
  <c r="N20"/>
  <c r="P20"/>
  <c r="R20" s="1"/>
  <c r="N21"/>
  <c r="P21"/>
  <c r="N22"/>
  <c r="P22"/>
  <c r="R22"/>
  <c r="N23"/>
  <c r="P23"/>
  <c r="R23" s="1"/>
  <c r="N24"/>
  <c r="P24"/>
  <c r="R24" s="1"/>
  <c r="N25"/>
  <c r="P25"/>
  <c r="N26"/>
  <c r="O11" s="1"/>
  <c r="O15"/>
  <c r="O23"/>
  <c r="L8"/>
  <c r="L9"/>
  <c r="L10"/>
  <c r="L11"/>
  <c r="L12"/>
  <c r="L13"/>
  <c r="L14"/>
  <c r="L15"/>
  <c r="L16"/>
  <c r="L17"/>
  <c r="L18"/>
  <c r="L19"/>
  <c r="L20"/>
  <c r="L21"/>
  <c r="L22"/>
  <c r="L23"/>
  <c r="L24"/>
  <c r="L25"/>
  <c r="L26"/>
  <c r="M11"/>
  <c r="M15"/>
  <c r="M19"/>
  <c r="M23"/>
  <c r="J26"/>
  <c r="K11" s="1"/>
  <c r="K15"/>
  <c r="K23"/>
  <c r="H26"/>
  <c r="I11"/>
  <c r="I15"/>
  <c r="I19"/>
  <c r="I23"/>
  <c r="F9"/>
  <c r="F10"/>
  <c r="F11"/>
  <c r="F12"/>
  <c r="F13"/>
  <c r="F14"/>
  <c r="F15"/>
  <c r="F16"/>
  <c r="F17"/>
  <c r="F18"/>
  <c r="F19"/>
  <c r="F20"/>
  <c r="F21"/>
  <c r="F22"/>
  <c r="F23"/>
  <c r="F24"/>
  <c r="F25"/>
  <c r="D26"/>
  <c r="E8" s="1"/>
  <c r="E9"/>
  <c r="E11"/>
  <c r="E13"/>
  <c r="E15"/>
  <c r="E17"/>
  <c r="E19"/>
  <c r="E21"/>
  <c r="E23"/>
  <c r="E25"/>
  <c r="B26"/>
  <c r="C8" s="1"/>
  <c r="C9"/>
  <c r="C11"/>
  <c r="C13"/>
  <c r="C15"/>
  <c r="C17"/>
  <c r="C19"/>
  <c r="C21"/>
  <c r="C23"/>
  <c r="C25"/>
  <c r="G140" i="16"/>
  <c r="F140"/>
  <c r="E104"/>
  <c r="G104" s="1"/>
  <c r="F104"/>
  <c r="G86"/>
  <c r="F86"/>
  <c r="G85"/>
  <c r="F85"/>
  <c r="G84"/>
  <c r="F84"/>
  <c r="G9"/>
  <c r="F9"/>
  <c r="G8"/>
  <c r="F8"/>
  <c r="E7"/>
  <c r="G7" s="1"/>
  <c r="F7"/>
  <c r="R56" i="17"/>
  <c r="P56"/>
  <c r="O55"/>
  <c r="N56"/>
  <c r="S55"/>
  <c r="S54"/>
  <c r="S53"/>
  <c r="S52"/>
  <c r="S50"/>
  <c r="S49"/>
  <c r="S48"/>
  <c r="S47"/>
  <c r="S46"/>
  <c r="S45"/>
  <c r="S44"/>
  <c r="S43"/>
  <c r="S42"/>
  <c r="S41"/>
  <c r="S40"/>
  <c r="S39"/>
  <c r="S38"/>
  <c r="S37"/>
  <c r="S36"/>
  <c r="S35"/>
  <c r="S27"/>
  <c r="S26"/>
  <c r="S25"/>
  <c r="S24"/>
  <c r="S23"/>
  <c r="S22"/>
  <c r="S21"/>
  <c r="S20"/>
  <c r="S19"/>
  <c r="S18"/>
  <c r="S16"/>
  <c r="S15"/>
  <c r="S14"/>
  <c r="S13"/>
  <c r="S12"/>
  <c r="S11"/>
  <c r="S10"/>
  <c r="S9"/>
  <c r="S8"/>
  <c r="Q55"/>
  <c r="Q54"/>
  <c r="Q53"/>
  <c r="Q52"/>
  <c r="Q50"/>
  <c r="Q49"/>
  <c r="Q48"/>
  <c r="Q47"/>
  <c r="Q46"/>
  <c r="Q45"/>
  <c r="Q44"/>
  <c r="Q43"/>
  <c r="Q42"/>
  <c r="Q41"/>
  <c r="Q40"/>
  <c r="Q39"/>
  <c r="Q38"/>
  <c r="Q37"/>
  <c r="Q36"/>
  <c r="Q35"/>
  <c r="Q27"/>
  <c r="Q26"/>
  <c r="Q25"/>
  <c r="Q24"/>
  <c r="Q23"/>
  <c r="Q22"/>
  <c r="Q21"/>
  <c r="Q20"/>
  <c r="Q19"/>
  <c r="Q18"/>
  <c r="Q16"/>
  <c r="Q15"/>
  <c r="Q14"/>
  <c r="Q13"/>
  <c r="Q12"/>
  <c r="Q11"/>
  <c r="Q10"/>
  <c r="Q9"/>
  <c r="Q8"/>
  <c r="O54"/>
  <c r="O53"/>
  <c r="O52"/>
  <c r="O50"/>
  <c r="O49"/>
  <c r="O48"/>
  <c r="O47"/>
  <c r="O46"/>
  <c r="O45"/>
  <c r="O44"/>
  <c r="O43"/>
  <c r="O42"/>
  <c r="O41"/>
  <c r="O40"/>
  <c r="O39"/>
  <c r="O38"/>
  <c r="O37"/>
  <c r="O36"/>
  <c r="O35"/>
  <c r="O27"/>
  <c r="O26"/>
  <c r="O25"/>
  <c r="O24"/>
  <c r="O23"/>
  <c r="O22"/>
  <c r="O21"/>
  <c r="O20"/>
  <c r="O19"/>
  <c r="O18"/>
  <c r="O16"/>
  <c r="O15"/>
  <c r="O14"/>
  <c r="O13"/>
  <c r="O12"/>
  <c r="O11"/>
  <c r="O10"/>
  <c r="O9"/>
  <c r="O8"/>
  <c r="C40"/>
  <c r="K55"/>
  <c r="K54"/>
  <c r="K53"/>
  <c r="K52"/>
  <c r="K51"/>
  <c r="K50"/>
  <c r="K49"/>
  <c r="K48"/>
  <c r="K47"/>
  <c r="K46"/>
  <c r="K45"/>
  <c r="K44"/>
  <c r="K43"/>
  <c r="K42"/>
  <c r="K41"/>
  <c r="K40"/>
  <c r="K39"/>
  <c r="K38"/>
  <c r="K37"/>
  <c r="K36"/>
  <c r="K27"/>
  <c r="K26"/>
  <c r="K25"/>
  <c r="K24"/>
  <c r="K23"/>
  <c r="K22"/>
  <c r="K21"/>
  <c r="K20"/>
  <c r="K19"/>
  <c r="K18"/>
  <c r="K17"/>
  <c r="K16"/>
  <c r="K15"/>
  <c r="K14"/>
  <c r="K13"/>
  <c r="K12"/>
  <c r="K11"/>
  <c r="K10"/>
  <c r="K9"/>
  <c r="I51"/>
  <c r="I40"/>
  <c r="I17"/>
  <c r="G51"/>
  <c r="G40"/>
  <c r="G17"/>
  <c r="E51"/>
  <c r="E40"/>
  <c r="E17"/>
  <c r="F14" i="18"/>
  <c r="F15"/>
  <c r="F16" s="1"/>
  <c r="D22"/>
  <c r="E22"/>
  <c r="F22" s="1"/>
  <c r="D23"/>
  <c r="D24" s="1"/>
  <c r="E23"/>
  <c r="F11"/>
  <c r="F19"/>
  <c r="D20"/>
  <c r="E20"/>
  <c r="F20"/>
  <c r="F10"/>
  <c r="F12"/>
  <c r="F43"/>
  <c r="D47"/>
  <c r="E47"/>
  <c r="F39"/>
  <c r="F35"/>
  <c r="F31"/>
  <c r="F33" s="1"/>
  <c r="F44"/>
  <c r="D48"/>
  <c r="E48"/>
  <c r="F48"/>
  <c r="G48" s="1"/>
  <c r="F40"/>
  <c r="F36"/>
  <c r="G36" s="1"/>
  <c r="F32"/>
  <c r="D45"/>
  <c r="E45"/>
  <c r="F45"/>
  <c r="D33"/>
  <c r="D37"/>
  <c r="D41"/>
  <c r="D49"/>
  <c r="E33"/>
  <c r="E37"/>
  <c r="E41"/>
  <c r="E49"/>
  <c r="F41"/>
  <c r="F37"/>
  <c r="F18"/>
  <c r="E16"/>
  <c r="E12"/>
  <c r="D16"/>
  <c r="D12"/>
  <c r="F43" i="19"/>
  <c r="F49" s="1"/>
  <c r="E43"/>
  <c r="D51"/>
  <c r="D50"/>
  <c r="G51"/>
  <c r="G50"/>
  <c r="D7"/>
  <c r="E7"/>
  <c r="F7"/>
  <c r="G7"/>
  <c r="D16"/>
  <c r="E16"/>
  <c r="F16"/>
  <c r="G16"/>
  <c r="D27"/>
  <c r="E27"/>
  <c r="F27"/>
  <c r="G27"/>
  <c r="D32"/>
  <c r="E32"/>
  <c r="F32"/>
  <c r="G32"/>
  <c r="C43"/>
  <c r="C49" s="1"/>
  <c r="C32"/>
  <c r="C27"/>
  <c r="C16"/>
  <c r="C7"/>
  <c r="B43"/>
  <c r="D43" s="1"/>
  <c r="D49" s="1"/>
  <c r="E49"/>
  <c r="G43"/>
  <c r="G49" s="1"/>
  <c r="B32"/>
  <c r="B27"/>
  <c r="B16"/>
  <c r="B7"/>
  <c r="A2" i="105"/>
  <c r="A7"/>
  <c r="A8" s="1"/>
  <c r="A9" s="1"/>
  <c r="A10" s="1"/>
  <c r="A11" s="1"/>
  <c r="A12" s="1"/>
  <c r="A13" s="1"/>
  <c r="A14" s="1"/>
  <c r="A15" s="1"/>
  <c r="A16" s="1"/>
  <c r="A17" s="1"/>
  <c r="A18" s="1"/>
  <c r="A19" s="1"/>
  <c r="A20" s="1"/>
  <c r="A21" s="1"/>
  <c r="A22" s="1"/>
  <c r="A23" s="1"/>
  <c r="A24" s="1"/>
  <c r="A25" s="1"/>
  <c r="A26" s="1"/>
  <c r="A27" s="1"/>
  <c r="A28" s="1"/>
  <c r="A29" s="1"/>
  <c r="A30" s="1"/>
  <c r="A31" s="1"/>
  <c r="A32" s="1"/>
  <c r="A33" s="1"/>
  <c r="A34" s="1"/>
  <c r="A2" i="106"/>
  <c r="A6"/>
  <c r="A7"/>
  <c r="A8" s="1"/>
  <c r="A9" s="1"/>
  <c r="A10" s="1"/>
  <c r="A11" s="1"/>
  <c r="A12" s="1"/>
  <c r="A13" s="1"/>
  <c r="A14" s="1"/>
  <c r="A15" s="1"/>
  <c r="A16" s="1"/>
  <c r="A17" s="1"/>
  <c r="A18" s="1"/>
  <c r="A19" s="1"/>
  <c r="A20" s="1"/>
  <c r="A21" s="1"/>
  <c r="A22" s="1"/>
  <c r="A23" s="1"/>
  <c r="A24" s="1"/>
  <c r="A25" s="1"/>
  <c r="A26" s="1"/>
  <c r="A27" s="1"/>
  <c r="A28" s="1"/>
  <c r="A29" s="1"/>
  <c r="A30" s="1"/>
  <c r="A31" s="1"/>
  <c r="A32" s="1"/>
  <c r="A33" s="1"/>
  <c r="A8" i="107"/>
  <c r="A9"/>
  <c r="A10" s="1"/>
  <c r="A11" s="1"/>
  <c r="A12" s="1"/>
  <c r="A13" s="1"/>
  <c r="A14" s="1"/>
  <c r="A15" s="1"/>
  <c r="A16" s="1"/>
  <c r="A17" s="1"/>
  <c r="A18" s="1"/>
  <c r="A19" s="1"/>
  <c r="A20" s="1"/>
  <c r="A21" s="1"/>
  <c r="A22" s="1"/>
  <c r="A23" s="1"/>
  <c r="A24" s="1"/>
  <c r="A25" s="1"/>
  <c r="A26" s="1"/>
  <c r="A27" s="1"/>
  <c r="A28" s="1"/>
  <c r="A29" s="1"/>
  <c r="A30" s="1"/>
  <c r="A31" s="1"/>
  <c r="A32" s="1"/>
  <c r="A33" s="1"/>
  <c r="A34" s="1"/>
  <c r="A35" s="1"/>
  <c r="A2" i="108"/>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K24" i="132"/>
  <c r="K42"/>
  <c r="K47"/>
  <c r="K58"/>
  <c r="B42"/>
  <c r="B47"/>
  <c r="B58"/>
  <c r="C58"/>
  <c r="D42"/>
  <c r="D47"/>
  <c r="D58"/>
  <c r="F42"/>
  <c r="F47"/>
  <c r="F58"/>
  <c r="F12"/>
  <c r="G42"/>
  <c r="G58"/>
  <c r="G12"/>
  <c r="A2"/>
  <c r="B13"/>
  <c r="J34"/>
  <c r="E61" i="131"/>
  <c r="E60"/>
  <c r="E59"/>
  <c r="E56"/>
  <c r="E55"/>
  <c r="E54"/>
  <c r="E53"/>
  <c r="E52"/>
  <c r="E51"/>
  <c r="E50"/>
  <c r="E49"/>
  <c r="E48"/>
  <c r="E47"/>
  <c r="E45"/>
  <c r="E44"/>
  <c r="E43"/>
  <c r="E33"/>
  <c r="E32"/>
  <c r="E31"/>
  <c r="E30"/>
  <c r="E29"/>
  <c r="E27"/>
  <c r="E26"/>
  <c r="E25"/>
  <c r="E24"/>
  <c r="E22"/>
  <c r="E20"/>
  <c r="E19"/>
  <c r="E18"/>
  <c r="E17"/>
  <c r="E16"/>
  <c r="E15"/>
  <c r="E21"/>
  <c r="E57"/>
  <c r="B57"/>
  <c r="C46"/>
  <c r="B46"/>
  <c r="B41"/>
  <c r="E23"/>
  <c r="B23"/>
  <c r="C14"/>
  <c r="C11" s="1"/>
  <c r="D41"/>
  <c r="D11" s="1"/>
  <c r="G14"/>
  <c r="G23"/>
  <c r="G46"/>
  <c r="G57"/>
  <c r="B12"/>
  <c r="F46"/>
  <c r="F23"/>
  <c r="I23"/>
  <c r="I57"/>
  <c r="H57"/>
  <c r="I46"/>
  <c r="H46"/>
  <c r="H23"/>
  <c r="H14"/>
  <c r="I14"/>
  <c r="F14"/>
  <c r="F57"/>
  <c r="E46"/>
  <c r="E13"/>
  <c r="B14"/>
  <c r="B11" s="1"/>
  <c r="D38" i="116" s="1"/>
  <c r="B22" i="25"/>
  <c r="C22"/>
  <c r="D22"/>
  <c r="E22"/>
  <c r="F22"/>
  <c r="F13"/>
  <c r="F33"/>
  <c r="F38"/>
  <c r="F49"/>
  <c r="E13"/>
  <c r="E33"/>
  <c r="E38"/>
  <c r="E49"/>
  <c r="E10" s="1"/>
  <c r="C13"/>
  <c r="C33"/>
  <c r="C38"/>
  <c r="C49"/>
  <c r="B13"/>
  <c r="B33"/>
  <c r="B38"/>
  <c r="B49"/>
  <c r="D13"/>
  <c r="D33"/>
  <c r="D38"/>
  <c r="D49"/>
  <c r="B11"/>
  <c r="A2"/>
  <c r="D12" i="26"/>
  <c r="B11"/>
  <c r="D13"/>
  <c r="D22"/>
  <c r="D33"/>
  <c r="D38"/>
  <c r="D49"/>
  <c r="D9"/>
  <c r="B49"/>
  <c r="B33"/>
  <c r="B38"/>
  <c r="B22"/>
  <c r="B13"/>
  <c r="B39" i="122"/>
  <c r="E22"/>
  <c r="E21"/>
  <c r="E20"/>
  <c r="B23"/>
  <c r="B34"/>
  <c r="B12"/>
  <c r="I23" i="27"/>
  <c r="M9" i="30"/>
  <c r="N9"/>
  <c r="M8" i="31"/>
  <c r="M29"/>
  <c r="N29"/>
  <c r="M18"/>
  <c r="N18"/>
  <c r="N8"/>
  <c r="N20" i="32"/>
  <c r="M20"/>
  <c r="I8" i="33"/>
  <c r="I23"/>
  <c r="I18"/>
  <c r="I13"/>
  <c r="I8" i="34"/>
  <c r="I7" s="1"/>
  <c r="I18"/>
  <c r="I17" s="1"/>
  <c r="A36"/>
  <c r="I19" i="35"/>
  <c r="Q39" i="37"/>
  <c r="V50"/>
  <c r="U50"/>
  <c r="T50"/>
  <c r="U39"/>
  <c r="T17"/>
  <c r="R8"/>
  <c r="R17"/>
  <c r="R34"/>
  <c r="R39"/>
  <c r="R50"/>
  <c r="R55"/>
  <c r="S8"/>
  <c r="S17"/>
  <c r="S34"/>
  <c r="S39"/>
  <c r="S50"/>
  <c r="Q50"/>
  <c r="K50"/>
  <c r="K39"/>
  <c r="H34"/>
  <c r="C17"/>
  <c r="C39"/>
  <c r="C34"/>
  <c r="J39"/>
  <c r="H39"/>
  <c r="K34"/>
  <c r="M34"/>
  <c r="Q34"/>
  <c r="W34"/>
  <c r="X34"/>
  <c r="Y34"/>
  <c r="C8"/>
  <c r="C50"/>
  <c r="D34"/>
  <c r="D8"/>
  <c r="D17"/>
  <c r="D39"/>
  <c r="D50"/>
  <c r="E34"/>
  <c r="E8"/>
  <c r="E17"/>
  <c r="E39"/>
  <c r="E50"/>
  <c r="G34"/>
  <c r="G39"/>
  <c r="G8"/>
  <c r="G17"/>
  <c r="G50"/>
  <c r="H50"/>
  <c r="H8"/>
  <c r="H17"/>
  <c r="J50"/>
  <c r="J8"/>
  <c r="J17"/>
  <c r="K8"/>
  <c r="K17"/>
  <c r="K55"/>
  <c r="M39"/>
  <c r="M8"/>
  <c r="M17"/>
  <c r="M55" s="1"/>
  <c r="Q8"/>
  <c r="Q17"/>
  <c r="T8"/>
  <c r="U8"/>
  <c r="U17"/>
  <c r="U55"/>
  <c r="V39"/>
  <c r="V55" s="1"/>
  <c r="V8"/>
  <c r="V17"/>
  <c r="W39"/>
  <c r="W50"/>
  <c r="W17"/>
  <c r="X39"/>
  <c r="X50"/>
  <c r="X8"/>
  <c r="X17"/>
  <c r="Y39"/>
  <c r="Y50"/>
  <c r="Y8"/>
  <c r="Y17"/>
  <c r="B8"/>
  <c r="B34"/>
  <c r="B39"/>
  <c r="B50"/>
  <c r="B55"/>
  <c r="C49" i="39"/>
  <c r="B49"/>
  <c r="C38"/>
  <c r="B38"/>
  <c r="C33"/>
  <c r="B33"/>
  <c r="C22"/>
  <c r="B22"/>
  <c r="C13"/>
  <c r="C10" s="1"/>
  <c r="B13"/>
  <c r="B11"/>
  <c r="C54"/>
  <c r="B10" i="40"/>
  <c r="B9"/>
  <c r="D21"/>
  <c r="D48"/>
  <c r="D37"/>
  <c r="D32"/>
  <c r="D12"/>
  <c r="C9"/>
  <c r="A2"/>
  <c r="C17" i="42"/>
  <c r="D17"/>
  <c r="E17"/>
  <c r="F17"/>
  <c r="B17"/>
  <c r="B10" s="1"/>
  <c r="G10" s="1"/>
  <c r="G16"/>
  <c r="G15"/>
  <c r="G14"/>
  <c r="G13"/>
  <c r="G12"/>
  <c r="A2"/>
  <c r="C18"/>
  <c r="B11"/>
  <c r="A14" i="83"/>
  <c r="B2"/>
  <c r="G37" i="45"/>
  <c r="A14"/>
  <c r="G10"/>
  <c r="G50"/>
  <c r="G19"/>
  <c r="G27" s="1"/>
  <c r="G31"/>
  <c r="A2" i="114"/>
  <c r="G30"/>
  <c r="G38"/>
  <c r="G25"/>
  <c r="G7"/>
  <c r="G15" s="1"/>
  <c r="G20" s="1"/>
  <c r="A2" i="49"/>
  <c r="L18" i="51"/>
  <c r="L30"/>
  <c r="G30"/>
  <c r="G18"/>
  <c r="A2"/>
  <c r="A2" i="52"/>
  <c r="L11" i="54"/>
  <c r="B21"/>
  <c r="A2"/>
  <c r="A28" i="56"/>
  <c r="A15"/>
  <c r="A2"/>
  <c r="I10"/>
  <c r="A2" i="59"/>
  <c r="G10"/>
  <c r="G15"/>
  <c r="G26"/>
  <c r="F13" i="60"/>
  <c r="F10" s="1"/>
  <c r="F22"/>
  <c r="F38"/>
  <c r="F43"/>
  <c r="F54"/>
  <c r="B11"/>
  <c r="I43"/>
  <c r="G54"/>
  <c r="D54"/>
  <c r="C54"/>
  <c r="B54"/>
  <c r="D43"/>
  <c r="C43"/>
  <c r="B43"/>
  <c r="D38"/>
  <c r="C38"/>
  <c r="B38"/>
  <c r="D22"/>
  <c r="C22"/>
  <c r="B22"/>
  <c r="D13"/>
  <c r="C13"/>
  <c r="B13"/>
  <c r="I13"/>
  <c r="I22"/>
  <c r="I38"/>
  <c r="I54"/>
  <c r="H13"/>
  <c r="H22"/>
  <c r="H38"/>
  <c r="H43"/>
  <c r="H54"/>
  <c r="G13"/>
  <c r="G22"/>
  <c r="G38"/>
  <c r="G43"/>
  <c r="E13"/>
  <c r="E22"/>
  <c r="E38"/>
  <c r="E43"/>
  <c r="E54"/>
  <c r="C10"/>
  <c r="A2" i="61"/>
  <c r="G35"/>
  <c r="G47" s="1"/>
  <c r="F35"/>
  <c r="F47" s="1"/>
  <c r="E35"/>
  <c r="E47" s="1"/>
  <c r="D74" i="116" s="1"/>
  <c r="D35" i="61"/>
  <c r="D47" s="1"/>
  <c r="D73" i="116" s="1"/>
  <c r="C35" i="61"/>
  <c r="C47" s="1"/>
  <c r="D72" i="116" s="1"/>
  <c r="G46" i="61"/>
  <c r="F46"/>
  <c r="E46"/>
  <c r="D46"/>
  <c r="C46"/>
  <c r="G45"/>
  <c r="F45"/>
  <c r="E45"/>
  <c r="D45"/>
  <c r="C45"/>
  <c r="G44"/>
  <c r="F44"/>
  <c r="E44"/>
  <c r="D44"/>
  <c r="C44"/>
  <c r="G43"/>
  <c r="F43"/>
  <c r="E43"/>
  <c r="D43"/>
  <c r="C43"/>
  <c r="C20" i="62"/>
  <c r="A2"/>
  <c r="F50" i="141"/>
  <c r="F55" s="1"/>
  <c r="D69" i="116" s="1"/>
  <c r="F40" i="141"/>
  <c r="F35"/>
  <c r="F27"/>
  <c r="F21"/>
  <c r="A2" i="66"/>
  <c r="A2" i="69"/>
  <c r="A4" i="140"/>
  <c r="A2" i="139"/>
  <c r="J9"/>
  <c r="K9"/>
  <c r="L9"/>
  <c r="M9"/>
  <c r="J8"/>
  <c r="K8"/>
  <c r="L8"/>
  <c r="M8"/>
  <c r="B10"/>
  <c r="C10"/>
  <c r="D10"/>
  <c r="E10"/>
  <c r="F10"/>
  <c r="G10"/>
  <c r="H10"/>
  <c r="I10"/>
  <c r="J10"/>
  <c r="K10"/>
  <c r="L10"/>
  <c r="M10"/>
  <c r="J21"/>
  <c r="K21"/>
  <c r="L21"/>
  <c r="M21"/>
  <c r="J20"/>
  <c r="K20"/>
  <c r="L20"/>
  <c r="M20"/>
  <c r="B22"/>
  <c r="C22"/>
  <c r="D22"/>
  <c r="E22"/>
  <c r="F22"/>
  <c r="G22"/>
  <c r="H22"/>
  <c r="I22"/>
  <c r="J22"/>
  <c r="K22"/>
  <c r="L22"/>
  <c r="M22"/>
  <c r="D40" i="116"/>
  <c r="B67"/>
  <c r="D65"/>
  <c r="D61"/>
  <c r="D28"/>
  <c r="D27"/>
  <c r="A56"/>
  <c r="D79"/>
  <c r="B65"/>
  <c r="B61"/>
  <c r="B40"/>
  <c r="D12"/>
  <c r="D5"/>
  <c r="D34"/>
  <c r="B10"/>
  <c r="B6"/>
  <c r="D81"/>
  <c r="D80"/>
  <c r="D78"/>
  <c r="D76"/>
  <c r="D82"/>
  <c r="B38"/>
  <c r="B37"/>
  <c r="D37"/>
  <c r="D85"/>
  <c r="D70"/>
  <c r="D47"/>
  <c r="D46"/>
  <c r="D45"/>
  <c r="D44"/>
  <c r="D43"/>
  <c r="D26"/>
  <c r="B26"/>
  <c r="D48"/>
  <c r="D7"/>
  <c r="D6"/>
  <c r="A1"/>
  <c r="B78"/>
  <c r="B69"/>
  <c r="D67"/>
  <c r="B43"/>
  <c r="D35"/>
  <c r="D33"/>
  <c r="B33"/>
  <c r="A7" i="118"/>
  <c r="A10"/>
  <c r="A21" i="138" l="1"/>
  <c r="A22" s="1"/>
  <c r="A23" s="1"/>
  <c r="A24" s="1"/>
  <c r="A25" s="1"/>
  <c r="A26" s="1"/>
  <c r="A27" s="1"/>
  <c r="A28" s="1"/>
  <c r="A29" s="1"/>
  <c r="A30" s="1"/>
  <c r="A31" s="1"/>
  <c r="A32" s="1"/>
  <c r="A33" s="1"/>
  <c r="A34" s="1"/>
  <c r="G15" i="142"/>
  <c r="G49"/>
  <c r="G46"/>
  <c r="S49"/>
  <c r="Q11" i="62"/>
  <c r="R40" i="6"/>
  <c r="H56"/>
  <c r="D8" i="116" s="1"/>
  <c r="Q56" i="6"/>
  <c r="O56"/>
  <c r="K56"/>
  <c r="R51"/>
  <c r="G56"/>
  <c r="D9" i="116" s="1"/>
  <c r="N56" i="6"/>
  <c r="R8"/>
  <c r="R56" s="1"/>
  <c r="R35"/>
  <c r="L56"/>
  <c r="D11" i="116" s="1"/>
  <c r="J56" i="6"/>
  <c r="D10" i="116" s="1"/>
  <c r="F56" i="6"/>
  <c r="D15" i="116" s="1"/>
  <c r="G21" i="59"/>
  <c r="G32" i="45"/>
  <c r="E10" i="77"/>
  <c r="D10"/>
  <c r="G10" i="60"/>
  <c r="E10"/>
  <c r="D9" i="40"/>
  <c r="B10" i="39"/>
  <c r="W55" i="37"/>
  <c r="X55"/>
  <c r="S55"/>
  <c r="Q55"/>
  <c r="H55"/>
  <c r="I7" i="33"/>
  <c r="N36" i="31"/>
  <c r="M36"/>
  <c r="I7" i="27"/>
  <c r="E39" i="122"/>
  <c r="E34"/>
  <c r="E23"/>
  <c r="E50"/>
  <c r="C10" i="26"/>
  <c r="B10"/>
  <c r="B10" i="25"/>
  <c r="H11" i="131"/>
  <c r="G11"/>
  <c r="F11"/>
  <c r="E14"/>
  <c r="G22" i="18"/>
  <c r="G10"/>
  <c r="I8" i="129"/>
  <c r="I9"/>
  <c r="I13"/>
  <c r="I17"/>
  <c r="I21"/>
  <c r="I25"/>
  <c r="M9"/>
  <c r="M13"/>
  <c r="M17"/>
  <c r="M21"/>
  <c r="M25"/>
  <c r="I10" i="60"/>
  <c r="B10"/>
  <c r="D10"/>
  <c r="G17" i="42"/>
  <c r="Y55" i="37"/>
  <c r="T55"/>
  <c r="J55"/>
  <c r="G55"/>
  <c r="D55"/>
  <c r="I35" i="34"/>
  <c r="B11" i="122"/>
  <c r="F10" i="25"/>
  <c r="D10"/>
  <c r="I11" i="131"/>
  <c r="E11"/>
  <c r="D39" i="116" s="1"/>
  <c r="D12" i="132"/>
  <c r="B12"/>
  <c r="B49" i="19"/>
  <c r="E24" i="18"/>
  <c r="G18"/>
  <c r="G32"/>
  <c r="G40"/>
  <c r="F47"/>
  <c r="F23"/>
  <c r="G19" s="1"/>
  <c r="K19" i="129"/>
  <c r="M24"/>
  <c r="M22"/>
  <c r="M20"/>
  <c r="M18"/>
  <c r="M16"/>
  <c r="M14"/>
  <c r="M12"/>
  <c r="M10"/>
  <c r="M8"/>
  <c r="O19"/>
  <c r="P26"/>
  <c r="O25"/>
  <c r="O18"/>
  <c r="O17"/>
  <c r="O9"/>
  <c r="L36" i="31"/>
  <c r="K8" i="129"/>
  <c r="K9"/>
  <c r="K13"/>
  <c r="K17"/>
  <c r="K21"/>
  <c r="K25"/>
  <c r="H48" i="146"/>
  <c r="D48"/>
  <c r="H10" i="60"/>
  <c r="E55" i="37"/>
  <c r="C55"/>
  <c r="D10" i="26"/>
  <c r="C10" i="25"/>
  <c r="C12" i="132"/>
  <c r="G37" i="18"/>
  <c r="F49"/>
  <c r="G49" s="1"/>
  <c r="G15" i="129"/>
  <c r="G11"/>
  <c r="F26"/>
  <c r="G13" s="1"/>
  <c r="O22"/>
  <c r="O21"/>
  <c r="O14"/>
  <c r="O13"/>
  <c r="J32" i="146"/>
  <c r="J16"/>
  <c r="E141" i="16"/>
  <c r="R25" i="129"/>
  <c r="O24"/>
  <c r="R21"/>
  <c r="O20"/>
  <c r="R17"/>
  <c r="O16"/>
  <c r="R13"/>
  <c r="O12"/>
  <c r="R9"/>
  <c r="O8"/>
  <c r="D7" i="112"/>
  <c r="G16"/>
  <c r="G43"/>
  <c r="J27"/>
  <c r="F48"/>
  <c r="G48" s="1"/>
  <c r="J8" i="134"/>
  <c r="D7" i="135"/>
  <c r="M7"/>
  <c r="R33"/>
  <c r="U16"/>
  <c r="V54"/>
  <c r="X7"/>
  <c r="AA16"/>
  <c r="G38"/>
  <c r="X38"/>
  <c r="AD45"/>
  <c r="AD41"/>
  <c r="C11" i="133"/>
  <c r="C9"/>
  <c r="M56" i="6"/>
  <c r="P56"/>
  <c r="E56"/>
  <c r="D14" i="116" s="1"/>
  <c r="I15" i="142"/>
  <c r="I17"/>
  <c r="S17" s="1"/>
  <c r="I19"/>
  <c r="G21"/>
  <c r="G27"/>
  <c r="S39"/>
  <c r="B10" i="77"/>
  <c r="G10"/>
  <c r="G43" i="146"/>
  <c r="H43"/>
  <c r="D43"/>
  <c r="J29"/>
  <c r="J27" s="1"/>
  <c r="I27"/>
  <c r="D27"/>
  <c r="D7"/>
  <c r="J9"/>
  <c r="J7" s="1"/>
  <c r="I7"/>
  <c r="J13" i="134"/>
  <c r="E53" i="16"/>
  <c r="E25" i="147"/>
  <c r="E20"/>
  <c r="E15"/>
  <c r="T51" i="17"/>
  <c r="B8"/>
  <c r="C11" i="122"/>
  <c r="D11"/>
  <c r="C46" i="9"/>
  <c r="F17" i="28"/>
  <c r="H17"/>
  <c r="F17" i="34"/>
  <c r="G35"/>
  <c r="H17"/>
  <c r="B55" i="141"/>
  <c r="D55"/>
  <c r="O10" i="129"/>
  <c r="J7" i="112"/>
  <c r="G32"/>
  <c r="C48"/>
  <c r="D33" i="135"/>
  <c r="M33"/>
  <c r="R49"/>
  <c r="R54" s="1"/>
  <c r="U7"/>
  <c r="X54"/>
  <c r="AA49"/>
  <c r="AA54" s="1"/>
  <c r="AD7"/>
  <c r="M38"/>
  <c r="AB38"/>
  <c r="D56" i="6"/>
  <c r="D13" i="116" s="1"/>
  <c r="C10" i="77"/>
  <c r="F10"/>
  <c r="G27" i="146"/>
  <c r="D16"/>
  <c r="I56" i="6"/>
  <c r="I17" i="28"/>
  <c r="I35" s="1"/>
  <c r="D84" i="116"/>
  <c r="E17" i="28"/>
  <c r="F7"/>
  <c r="G17"/>
  <c r="H7"/>
  <c r="H35" s="1"/>
  <c r="E18" i="31"/>
  <c r="E36" s="1"/>
  <c r="G18"/>
  <c r="G36" s="1"/>
  <c r="I18"/>
  <c r="I36" s="1"/>
  <c r="K18"/>
  <c r="K36" s="1"/>
  <c r="E17" i="34"/>
  <c r="E35" s="1"/>
  <c r="Q10" i="62"/>
  <c r="C55" i="141"/>
  <c r="E55"/>
  <c r="R26" i="129"/>
  <c r="S9" s="1"/>
  <c r="S25"/>
  <c r="S24"/>
  <c r="S21"/>
  <c r="S20"/>
  <c r="S17"/>
  <c r="S16"/>
  <c r="S13"/>
  <c r="S12"/>
  <c r="S8"/>
  <c r="O26"/>
  <c r="D54" i="135"/>
  <c r="G47" i="18"/>
  <c r="G43"/>
  <c r="G39"/>
  <c r="G35"/>
  <c r="G31"/>
  <c r="G23"/>
  <c r="F24"/>
  <c r="G24" s="1"/>
  <c r="G15"/>
  <c r="G8" i="129"/>
  <c r="G10"/>
  <c r="G12"/>
  <c r="G14"/>
  <c r="G17"/>
  <c r="G19"/>
  <c r="G21"/>
  <c r="G23"/>
  <c r="G25"/>
  <c r="G18"/>
  <c r="G20"/>
  <c r="G22"/>
  <c r="G24"/>
  <c r="I48" i="112"/>
  <c r="J48" s="1"/>
  <c r="D48"/>
  <c r="M26" i="129"/>
  <c r="S23"/>
  <c r="S22"/>
  <c r="S19"/>
  <c r="S18"/>
  <c r="S15"/>
  <c r="S14"/>
  <c r="S11"/>
  <c r="S10"/>
  <c r="G14" i="18"/>
  <c r="G44"/>
  <c r="G11"/>
  <c r="C24" i="129"/>
  <c r="C22"/>
  <c r="C20"/>
  <c r="C18"/>
  <c r="C16"/>
  <c r="C14"/>
  <c r="C12"/>
  <c r="C10"/>
  <c r="E24"/>
  <c r="E22"/>
  <c r="E20"/>
  <c r="E18"/>
  <c r="E16"/>
  <c r="E14"/>
  <c r="E12"/>
  <c r="E10"/>
  <c r="G9"/>
  <c r="I24"/>
  <c r="I22"/>
  <c r="I20"/>
  <c r="I18"/>
  <c r="I16"/>
  <c r="I14"/>
  <c r="I12"/>
  <c r="I10"/>
  <c r="I26" s="1"/>
  <c r="K24"/>
  <c r="K22"/>
  <c r="K20"/>
  <c r="K18"/>
  <c r="K16"/>
  <c r="K14"/>
  <c r="K12"/>
  <c r="K10"/>
  <c r="K26" s="1"/>
  <c r="Q24"/>
  <c r="Q22"/>
  <c r="Q20"/>
  <c r="Q18"/>
  <c r="Q16"/>
  <c r="Q14"/>
  <c r="Q12"/>
  <c r="Q10"/>
  <c r="H27" i="112"/>
  <c r="G15" i="134"/>
  <c r="I15"/>
  <c r="G33" i="135"/>
  <c r="J16"/>
  <c r="M54"/>
  <c r="U54"/>
  <c r="J60" i="132"/>
  <c r="H59"/>
  <c r="G45" i="18"/>
  <c r="D15" i="134"/>
  <c r="J15"/>
  <c r="H15"/>
  <c r="G54" i="135"/>
  <c r="G7"/>
  <c r="J49"/>
  <c r="J54" s="1"/>
  <c r="AD38"/>
  <c r="AD54" s="1"/>
  <c r="J43" i="146"/>
  <c r="Q7" i="142"/>
  <c r="O7"/>
  <c r="K7"/>
  <c r="M7"/>
  <c r="Q15"/>
  <c r="M15"/>
  <c r="S15" s="1"/>
  <c r="Q19"/>
  <c r="M19"/>
  <c r="K19"/>
  <c r="Q23"/>
  <c r="O23"/>
  <c r="I23"/>
  <c r="S23" s="1"/>
  <c r="K23"/>
  <c r="Q25"/>
  <c r="K25"/>
  <c r="Q37"/>
  <c r="I37"/>
  <c r="Q53"/>
  <c r="I53"/>
  <c r="M52"/>
  <c r="Q52"/>
  <c r="I52"/>
  <c r="K52"/>
  <c r="O52"/>
  <c r="K38"/>
  <c r="Q38"/>
  <c r="I38"/>
  <c r="I34"/>
  <c r="M34"/>
  <c r="Q34"/>
  <c r="O34"/>
  <c r="K34"/>
  <c r="K24"/>
  <c r="Q24"/>
  <c r="O24"/>
  <c r="M24"/>
  <c r="K22"/>
  <c r="Q22"/>
  <c r="O22"/>
  <c r="M22"/>
  <c r="K18"/>
  <c r="Q18"/>
  <c r="O18"/>
  <c r="M18"/>
  <c r="K14"/>
  <c r="Q14"/>
  <c r="O14"/>
  <c r="M14"/>
  <c r="Q12"/>
  <c r="M12"/>
  <c r="K12"/>
  <c r="Q10"/>
  <c r="O10"/>
  <c r="M10"/>
  <c r="K10"/>
  <c r="M8"/>
  <c r="Q8"/>
  <c r="O8"/>
  <c r="K8"/>
  <c r="M6"/>
  <c r="Q6"/>
  <c r="K6"/>
  <c r="Q24" i="147"/>
  <c r="R24"/>
  <c r="Q22"/>
  <c r="R22"/>
  <c r="Q20"/>
  <c r="R20"/>
  <c r="Q18"/>
  <c r="R18"/>
  <c r="R16"/>
  <c r="Q16"/>
  <c r="R14"/>
  <c r="Q14"/>
  <c r="R12"/>
  <c r="Q12"/>
  <c r="R10"/>
  <c r="Q10"/>
  <c r="R8"/>
  <c r="Q8"/>
  <c r="K16"/>
  <c r="K9"/>
  <c r="K11"/>
  <c r="K13"/>
  <c r="K15"/>
  <c r="K18"/>
  <c r="K20"/>
  <c r="K22"/>
  <c r="K24"/>
  <c r="K8"/>
  <c r="K10"/>
  <c r="K12"/>
  <c r="K14"/>
  <c r="K17"/>
  <c r="K19"/>
  <c r="K21"/>
  <c r="K23"/>
  <c r="K25"/>
  <c r="E8"/>
  <c r="E10"/>
  <c r="E12"/>
  <c r="E14"/>
  <c r="E16"/>
  <c r="E17"/>
  <c r="E19"/>
  <c r="E21"/>
  <c r="E23"/>
  <c r="E24"/>
  <c r="R10" i="62"/>
  <c r="R8"/>
  <c r="E6" i="9"/>
  <c r="E8"/>
  <c r="E11"/>
  <c r="E13"/>
  <c r="E41"/>
  <c r="E14"/>
  <c r="E39"/>
  <c r="E32"/>
  <c r="E34"/>
  <c r="E36"/>
  <c r="E38"/>
  <c r="D46"/>
  <c r="D19" i="116" s="1"/>
  <c r="R11" i="62"/>
  <c r="R9"/>
  <c r="E10" i="9"/>
  <c r="E7"/>
  <c r="E9"/>
  <c r="E12"/>
  <c r="E30"/>
  <c r="E25"/>
  <c r="E5"/>
  <c r="E31"/>
  <c r="E33"/>
  <c r="E35"/>
  <c r="E37"/>
  <c r="E40"/>
  <c r="D18" i="116"/>
  <c r="AB7" i="135"/>
  <c r="AB54" s="1"/>
  <c r="C15" i="133"/>
  <c r="E13"/>
  <c r="E11"/>
  <c r="E10"/>
  <c r="E9"/>
  <c r="E8"/>
  <c r="I9" i="142"/>
  <c r="I11"/>
  <c r="I13"/>
  <c r="I21"/>
  <c r="I27"/>
  <c r="S27" s="1"/>
  <c r="E35"/>
  <c r="S35" s="1"/>
  <c r="J24" i="132"/>
  <c r="J15"/>
  <c r="J61"/>
  <c r="L26" i="147"/>
  <c r="M21" s="1"/>
  <c r="E14" i="122"/>
  <c r="E35" i="28"/>
  <c r="G35"/>
  <c r="M9" i="142"/>
  <c r="Q9"/>
  <c r="O9"/>
  <c r="K9"/>
  <c r="Q11"/>
  <c r="M11"/>
  <c r="K11"/>
  <c r="Q13"/>
  <c r="K13"/>
  <c r="Q21"/>
  <c r="M21"/>
  <c r="M40"/>
  <c r="I40"/>
  <c r="K40"/>
  <c r="Q40"/>
  <c r="K41"/>
  <c r="Q41"/>
  <c r="M41"/>
  <c r="I41"/>
  <c r="Q43"/>
  <c r="O43"/>
  <c r="K43"/>
  <c r="I43"/>
  <c r="Q45"/>
  <c r="M45"/>
  <c r="I45"/>
  <c r="K45"/>
  <c r="Q46"/>
  <c r="I46"/>
  <c r="K46"/>
  <c r="Q47"/>
  <c r="I47"/>
  <c r="Q48"/>
  <c r="M48"/>
  <c r="I48"/>
  <c r="K48"/>
  <c r="O48"/>
  <c r="Q50"/>
  <c r="M50"/>
  <c r="I50"/>
  <c r="K50"/>
  <c r="O50"/>
  <c r="K26"/>
  <c r="Q26"/>
  <c r="M26"/>
  <c r="M44"/>
  <c r="I44"/>
  <c r="K44"/>
  <c r="Q44"/>
  <c r="M42"/>
  <c r="I42"/>
  <c r="Q42"/>
  <c r="O42"/>
  <c r="K42"/>
  <c r="M36"/>
  <c r="Q36"/>
  <c r="O36"/>
  <c r="I36"/>
  <c r="K36"/>
  <c r="K20"/>
  <c r="Q20"/>
  <c r="O20"/>
  <c r="M20"/>
  <c r="Q16"/>
  <c r="K16"/>
  <c r="O16"/>
  <c r="M16"/>
  <c r="N26" i="147"/>
  <c r="O24" s="1"/>
  <c r="F26"/>
  <c r="G9" s="1"/>
  <c r="G52" i="142"/>
  <c r="S52" s="1"/>
  <c r="E53"/>
  <c r="S53" s="1"/>
  <c r="E24"/>
  <c r="S24" s="1"/>
  <c r="I22"/>
  <c r="S22" s="1"/>
  <c r="E18"/>
  <c r="S18" s="1"/>
  <c r="G12"/>
  <c r="S12" s="1"/>
  <c r="G10"/>
  <c r="S10" s="1"/>
  <c r="G8"/>
  <c r="S8" s="1"/>
  <c r="G6"/>
  <c r="S6" s="1"/>
  <c r="I48" i="146"/>
  <c r="J48" s="1"/>
  <c r="Q25" i="147"/>
  <c r="Q23"/>
  <c r="Q21"/>
  <c r="Q19"/>
  <c r="Q17"/>
  <c r="Q15"/>
  <c r="Q13"/>
  <c r="Q11"/>
  <c r="Q9"/>
  <c r="O25"/>
  <c r="O23"/>
  <c r="O21"/>
  <c r="O19"/>
  <c r="O17"/>
  <c r="O15"/>
  <c r="O13"/>
  <c r="O11"/>
  <c r="G25"/>
  <c r="G15"/>
  <c r="G13"/>
  <c r="G11"/>
  <c r="E11" i="122"/>
  <c r="F35" i="28"/>
  <c r="F35" i="34"/>
  <c r="H35"/>
  <c r="C25" i="147"/>
  <c r="C23"/>
  <c r="C20"/>
  <c r="C18"/>
  <c r="C16"/>
  <c r="C13"/>
  <c r="C11"/>
  <c r="C9"/>
  <c r="C15"/>
  <c r="I25"/>
  <c r="I23"/>
  <c r="I21"/>
  <c r="I19"/>
  <c r="I17"/>
  <c r="I15"/>
  <c r="I13"/>
  <c r="I10"/>
  <c r="I8"/>
  <c r="T17" i="17"/>
  <c r="C17" s="1"/>
  <c r="B35"/>
  <c r="C35" s="1"/>
  <c r="C24" i="147"/>
  <c r="C22"/>
  <c r="C19"/>
  <c r="C17"/>
  <c r="C14"/>
  <c r="C12"/>
  <c r="C10"/>
  <c r="C8"/>
  <c r="I24"/>
  <c r="I22"/>
  <c r="I20"/>
  <c r="I18"/>
  <c r="I16"/>
  <c r="I14"/>
  <c r="I12"/>
  <c r="I9"/>
  <c r="E46" i="9" l="1"/>
  <c r="E45"/>
  <c r="E43"/>
  <c r="E29"/>
  <c r="E27"/>
  <c r="E24"/>
  <c r="E22"/>
  <c r="E20"/>
  <c r="E18"/>
  <c r="E16"/>
  <c r="E44"/>
  <c r="E42"/>
  <c r="E28"/>
  <c r="E26"/>
  <c r="E23"/>
  <c r="E21"/>
  <c r="E19"/>
  <c r="E17"/>
  <c r="E15"/>
  <c r="S51" i="17"/>
  <c r="Q51"/>
  <c r="O51"/>
  <c r="C51"/>
  <c r="G53" i="16"/>
  <c r="F53"/>
  <c r="Q8" i="129"/>
  <c r="Q9"/>
  <c r="Q13"/>
  <c r="Q17"/>
  <c r="Q21"/>
  <c r="Q25"/>
  <c r="Q11"/>
  <c r="Q19"/>
  <c r="K35" i="17"/>
  <c r="O9" i="147"/>
  <c r="S20" i="142"/>
  <c r="S36"/>
  <c r="S47"/>
  <c r="S45"/>
  <c r="M17" i="147"/>
  <c r="S13" i="142"/>
  <c r="S9"/>
  <c r="S14"/>
  <c r="S25"/>
  <c r="S19"/>
  <c r="S7"/>
  <c r="E26" i="129"/>
  <c r="C26"/>
  <c r="Q23"/>
  <c r="E8" i="17"/>
  <c r="C8"/>
  <c r="K8"/>
  <c r="I8"/>
  <c r="G8"/>
  <c r="G141" i="16"/>
  <c r="F141"/>
  <c r="S21" i="142"/>
  <c r="S11"/>
  <c r="S34"/>
  <c r="Q26" i="129"/>
  <c r="Q15"/>
  <c r="G41" i="18"/>
  <c r="G33"/>
  <c r="M10" i="147"/>
  <c r="M12"/>
  <c r="M14"/>
  <c r="M24"/>
  <c r="M8"/>
  <c r="M9"/>
  <c r="M13"/>
  <c r="M16"/>
  <c r="M20"/>
  <c r="M11"/>
  <c r="M15"/>
  <c r="M18"/>
  <c r="M22"/>
  <c r="M25"/>
  <c r="D21" i="116"/>
  <c r="D23"/>
  <c r="D24"/>
  <c r="D22"/>
  <c r="R26" i="147"/>
  <c r="C26"/>
  <c r="I26"/>
  <c r="G35" i="17"/>
  <c r="T56"/>
  <c r="S16" i="142"/>
  <c r="S42"/>
  <c r="S44"/>
  <c r="S26"/>
  <c r="S48"/>
  <c r="S46"/>
  <c r="S43"/>
  <c r="S41"/>
  <c r="S40"/>
  <c r="E35" i="17"/>
  <c r="Q17"/>
  <c r="M19" i="147"/>
  <c r="M23"/>
  <c r="O10"/>
  <c r="O14"/>
  <c r="O18"/>
  <c r="O22"/>
  <c r="E26"/>
  <c r="S10"/>
  <c r="S12"/>
  <c r="S14"/>
  <c r="S16"/>
  <c r="S38" i="142"/>
  <c r="S37"/>
  <c r="D41" i="116"/>
  <c r="G16" i="18"/>
  <c r="G12"/>
  <c r="G18" i="147"/>
  <c r="G20"/>
  <c r="G22"/>
  <c r="G16"/>
  <c r="G12"/>
  <c r="G19"/>
  <c r="G23"/>
  <c r="G8"/>
  <c r="G10"/>
  <c r="G14"/>
  <c r="G17"/>
  <c r="G21"/>
  <c r="G24"/>
  <c r="H58" i="132"/>
  <c r="J59"/>
  <c r="O17" i="17"/>
  <c r="S50" i="142"/>
  <c r="B56" i="17"/>
  <c r="I35"/>
  <c r="S17"/>
  <c r="O8" i="147"/>
  <c r="O12"/>
  <c r="O16"/>
  <c r="O20"/>
  <c r="K26"/>
  <c r="Q26"/>
  <c r="S18"/>
  <c r="S20"/>
  <c r="S22"/>
  <c r="S24"/>
  <c r="G26" i="129"/>
  <c r="S26"/>
  <c r="G20" i="18"/>
  <c r="S23" i="147" l="1"/>
  <c r="S15"/>
  <c r="S25"/>
  <c r="S17"/>
  <c r="S9"/>
  <c r="S19"/>
  <c r="S11"/>
  <c r="S21"/>
  <c r="S13"/>
  <c r="M26"/>
  <c r="C56" i="17"/>
  <c r="D30" i="116"/>
  <c r="K56" i="17"/>
  <c r="I56"/>
  <c r="G56"/>
  <c r="E56"/>
  <c r="H57" i="132"/>
  <c r="J58"/>
  <c r="O56" i="17"/>
  <c r="S56"/>
  <c r="D31" i="116"/>
  <c r="Q56" i="17"/>
  <c r="G26" i="147"/>
  <c r="O26"/>
  <c r="S8"/>
  <c r="S26" s="1"/>
  <c r="J57" i="132" l="1"/>
  <c r="H56"/>
  <c r="J56" l="1"/>
  <c r="H55"/>
  <c r="J55" l="1"/>
  <c r="H54"/>
  <c r="J54" l="1"/>
  <c r="H53"/>
  <c r="J53" l="1"/>
  <c r="H52"/>
  <c r="J52" l="1"/>
  <c r="H51"/>
  <c r="J51" l="1"/>
  <c r="H50"/>
  <c r="J50" l="1"/>
  <c r="H49"/>
  <c r="J49" l="1"/>
  <c r="H48"/>
  <c r="J48" l="1"/>
  <c r="H47"/>
  <c r="H46" l="1"/>
  <c r="J47"/>
  <c r="J46" l="1"/>
  <c r="H45"/>
  <c r="H44" l="1"/>
  <c r="J45"/>
  <c r="J44" l="1"/>
  <c r="H43"/>
  <c r="H42" l="1"/>
  <c r="J43"/>
  <c r="H12" l="1"/>
  <c r="J42"/>
</calcChain>
</file>

<file path=xl/sharedStrings.xml><?xml version="1.0" encoding="utf-8"?>
<sst xmlns="http://schemas.openxmlformats.org/spreadsheetml/2006/main" count="9612" uniqueCount="1939">
  <si>
    <t>M</t>
  </si>
  <si>
    <t>Category of police force</t>
  </si>
  <si>
    <t>Thakurpukur -Maheshtala</t>
  </si>
  <si>
    <t>Land Revenue</t>
  </si>
  <si>
    <t>Stamp Revenue &amp; Registration Fees</t>
  </si>
  <si>
    <t>Excise Revenue</t>
  </si>
  <si>
    <t>Sales Tax</t>
  </si>
  <si>
    <t>Taxes on Vehicles</t>
  </si>
  <si>
    <t>Electricity Duty</t>
  </si>
  <si>
    <t>Other Taxes</t>
  </si>
  <si>
    <t>Entertain-
ment Tax</t>
  </si>
  <si>
    <t>Profes-
sional Tax</t>
  </si>
  <si>
    <t>Culturable waste land</t>
  </si>
  <si>
    <t>Commodity</t>
  </si>
  <si>
    <t>Market</t>
  </si>
  <si>
    <t xml:space="preserve">                        (Number)</t>
  </si>
  <si>
    <t>Principal Market Yard</t>
  </si>
  <si>
    <t>Sub-Market Yard</t>
  </si>
  <si>
    <t>Source : Bureau of Applied Economics &amp; Statistics, Govt. of W.B.</t>
  </si>
  <si>
    <t xml:space="preserve">Month </t>
  </si>
  <si>
    <t>Annual average</t>
  </si>
  <si>
    <t>Modified ration shop</t>
  </si>
  <si>
    <t>(Kilometre)</t>
  </si>
  <si>
    <t>P.W.D.</t>
  </si>
  <si>
    <t>Alipore Sub-Division</t>
  </si>
  <si>
    <t>D.Harbour Sub-Division</t>
  </si>
  <si>
    <t>Zilla Parishad</t>
  </si>
  <si>
    <t>National Highways</t>
  </si>
  <si>
    <t>State Highways</t>
  </si>
  <si>
    <t>District Roads</t>
  </si>
  <si>
    <t>Village Roads</t>
  </si>
  <si>
    <t>Year (as on 31st March)</t>
  </si>
  <si>
    <t>Goods Vehicles</t>
  </si>
  <si>
    <t>Motor car &amp; Jeep</t>
  </si>
  <si>
    <t>Motor cycle &amp; Scooter</t>
  </si>
  <si>
    <t>Taxi &amp; Contract Carriage</t>
  </si>
  <si>
    <t>Auto Rickshaw</t>
  </si>
  <si>
    <t>(d) "Metropolitan" includes all centres with population over 10 lakhs</t>
  </si>
  <si>
    <t>a) working factories</t>
  </si>
  <si>
    <t>b) average daily employment</t>
  </si>
  <si>
    <t>Commercial</t>
  </si>
  <si>
    <t>Language</t>
  </si>
  <si>
    <t>Name of Fruits / Vegetables</t>
  </si>
  <si>
    <t>Total deliveries performed</t>
  </si>
  <si>
    <t>Upto 5 years</t>
  </si>
  <si>
    <t>Above 5 years</t>
  </si>
  <si>
    <t xml:space="preserve">(a) D.I.(Secondary) </t>
  </si>
  <si>
    <t>(b) High Madrasahs</t>
  </si>
  <si>
    <t>(a)General Stream (Including independent H.S. Schools)</t>
  </si>
  <si>
    <t>(b) Vocational Stream (Including Independent H.S. Schools)</t>
  </si>
  <si>
    <t>= Open Dug Well</t>
  </si>
  <si>
    <t>Jiol ( Magur)</t>
  </si>
  <si>
    <t>Paddy(Aman Fine)</t>
  </si>
  <si>
    <t>(23)</t>
  </si>
  <si>
    <t>(24)</t>
  </si>
  <si>
    <t>(25)</t>
  </si>
  <si>
    <t>(26)</t>
  </si>
  <si>
    <t>(27)</t>
  </si>
  <si>
    <t>(28)</t>
  </si>
  <si>
    <t>Department of Statistical Analysis and Computer Services, Reserve Bank of India, Mumbai</t>
  </si>
  <si>
    <t>(29)</t>
  </si>
  <si>
    <t>(30)</t>
  </si>
  <si>
    <t>(31)</t>
  </si>
  <si>
    <t>(32)</t>
  </si>
  <si>
    <t>(33)</t>
  </si>
  <si>
    <t>(34)</t>
  </si>
  <si>
    <t>(35)</t>
  </si>
  <si>
    <t>(36)</t>
  </si>
  <si>
    <t>(38)</t>
  </si>
  <si>
    <t>(37)</t>
  </si>
  <si>
    <t>(39)</t>
  </si>
  <si>
    <t>(40)</t>
  </si>
  <si>
    <t>Source : Heads of all Professional  &amp; Technical Institutions in South 24-Parganas</t>
  </si>
  <si>
    <t>hectare</t>
  </si>
  <si>
    <t xml:space="preserve">            </t>
  </si>
  <si>
    <t>Climate :</t>
  </si>
  <si>
    <t>Source : Meteorological Department, Govt.of India</t>
  </si>
  <si>
    <t>P.C. of rural population to total population</t>
  </si>
  <si>
    <t>P.C. of Col.(4) to respective total population</t>
  </si>
  <si>
    <t>Other Departments of Govt. of West Bengal including State Govt. Undertaking</t>
  </si>
  <si>
    <t>(d) Railway (ER/SER) / DVC etc.</t>
  </si>
  <si>
    <t>(b) Junior Govt. Polytechnics</t>
  </si>
  <si>
    <t>Other Colleges / Institutions</t>
  </si>
  <si>
    <t>Source : Census of India, 2001 &amp; 1991</t>
  </si>
  <si>
    <t>Usthi</t>
  </si>
  <si>
    <t>Raidighi</t>
  </si>
  <si>
    <t>1) Directorate of Agriculture, Govt. of  W.B.</t>
  </si>
  <si>
    <t>As on 31.03.2013</t>
  </si>
  <si>
    <t>Employment situation:</t>
  </si>
  <si>
    <t>7562 (P)</t>
  </si>
  <si>
    <t>469984 (P)</t>
  </si>
  <si>
    <t>Office administrative, office support and other business support activities</t>
  </si>
  <si>
    <t>Source : Directorate of Food Processing Industries and Horticulture, Govt. of  W.B.</t>
  </si>
  <si>
    <t>Reserved forest / National Park</t>
  </si>
  <si>
    <t>Forest Produce  :</t>
  </si>
  <si>
    <t>Revenue &amp; Expenditure  :</t>
  </si>
  <si>
    <t>Loans due from individuals &amp; other societies
(Rs. in thousand)</t>
  </si>
  <si>
    <t>P.C. of advances to deposits</t>
  </si>
  <si>
    <t>Maximum and Minimum Temperature by month</t>
  </si>
  <si>
    <t>Mean Maximum and Mean Minimum Temperature by month</t>
  </si>
  <si>
    <t>Administrative Units</t>
  </si>
  <si>
    <t>Number of Seats in Municipal Corporations, Municipalities and Panchayats</t>
  </si>
  <si>
    <t>Area, Population and Density of Population</t>
  </si>
  <si>
    <t>Growth of Population by sex</t>
  </si>
  <si>
    <t>Distribution of Rural &amp; Urban Population by sex, 2001</t>
  </si>
  <si>
    <t>Distribution of Population by sex &amp; by age group, 2001</t>
  </si>
  <si>
    <t>Distribution of Population over different categories of workers and non-workers</t>
  </si>
  <si>
    <t>Scheduled Caste and Scheduled Tribe Population by sex</t>
  </si>
  <si>
    <t>31.10.2010</t>
  </si>
  <si>
    <t>16.12.2013</t>
  </si>
  <si>
    <t>1682*</t>
  </si>
  <si>
    <t>* Combined for South 24 Parganas, North 24 Parganas &amp; Kolkata</t>
  </si>
  <si>
    <t>Disabled Persons by type of disability &amp; by sex</t>
  </si>
  <si>
    <t>Distribution of Population over different categories of workers and non-workers by sex</t>
  </si>
  <si>
    <t>Medical Facilities</t>
  </si>
  <si>
    <t>Libraries, Reading Rooms and Mass Literacy Centres</t>
  </si>
  <si>
    <t>Classification of Land Utilization Statistics</t>
  </si>
  <si>
    <t>Area under Principal Crops</t>
  </si>
  <si>
    <t>Production of Principal Crops</t>
  </si>
  <si>
    <t>Yield rates of Principal Crops</t>
  </si>
  <si>
    <t>Yield rates of some Selected Crops</t>
  </si>
  <si>
    <t>Index Numbers of Agricultural Area, Production and Productivity (Base: 1981-82 = 100)</t>
  </si>
  <si>
    <t>Area and Production of Flowers</t>
  </si>
  <si>
    <t>Area Irrigated by different sources</t>
  </si>
  <si>
    <t>Sources of Irrigation</t>
  </si>
  <si>
    <t xml:space="preserve">Fertilizer Consumed  </t>
  </si>
  <si>
    <t xml:space="preserve">Warehousing and Cold Storage Facilities </t>
  </si>
  <si>
    <t>Estimated Production of Milk and Egg</t>
  </si>
  <si>
    <t>Live-stock and Poultry</t>
  </si>
  <si>
    <t>Progress of Co-operative Movement</t>
  </si>
  <si>
    <t>Mouzas Electrified</t>
  </si>
  <si>
    <t>Selected Characteristics of Factories by industry group</t>
  </si>
  <si>
    <t>Number of Establishments in rural and urban areas</t>
  </si>
  <si>
    <t>Number of Persons usually working in rural and urban Establishments</t>
  </si>
  <si>
    <t>Percentage of Hired Workers and Females employed in Non-agricultural Establishments</t>
  </si>
  <si>
    <t>Applicants on the Live-register of Employment Exchanges</t>
  </si>
  <si>
    <t>Micro &amp; Small Scale Enterprises with corresponding Employment</t>
  </si>
  <si>
    <t>Production in Sericulture Industry</t>
  </si>
  <si>
    <t>Registration and Placement effected by Employment Exchanges</t>
  </si>
  <si>
    <t>Assistance to Old-aged Persons, Widows and Handicapped</t>
  </si>
  <si>
    <t>Wholesale Prices of Agricultural Commodities, Live-stock and Live-stock Products</t>
  </si>
  <si>
    <t>Regulated Market by category</t>
  </si>
  <si>
    <t>Consumer Price Index Numbers for Families in different Monthly Expenditure Levels</t>
  </si>
  <si>
    <t>Consumer Price Index Numbers for Industrial Workers</t>
  </si>
  <si>
    <t>Statutory and Modified Ration Shops</t>
  </si>
  <si>
    <t>Length of Roads maintained by P.W.D., Zilla Parishad &amp; Panchayat</t>
  </si>
  <si>
    <t>Length of different classes of Roads maintained by P.W.D.</t>
  </si>
  <si>
    <t>Registered Motor Vehicles</t>
  </si>
  <si>
    <t>Accidents on Roads</t>
  </si>
  <si>
    <t>Offences reported, Cases tried, Persons convicted and acquitted</t>
  </si>
  <si>
    <t>1) Exe. Engr., P.W.D.( Roads), South 24-Parganas</t>
  </si>
  <si>
    <t>2) Exe. Engr., Zilla Parishad, South 24-Parganas</t>
  </si>
  <si>
    <t>Strength of Police Force</t>
  </si>
  <si>
    <t>Population, Receipt and Expenditure of Municipalities</t>
  </si>
  <si>
    <t>Distribution of Population by sex in different towns</t>
  </si>
  <si>
    <t>General Educational Institutions by type</t>
  </si>
  <si>
    <t>Professional &amp; Technical Educational Institutions by type</t>
  </si>
  <si>
    <t xml:space="preserve">Special &amp; Non-formal Educational Institutions by type </t>
  </si>
  <si>
    <t>Institutions, Students &amp; Teachers by Block &amp; Municipality</t>
  </si>
  <si>
    <t>Distribution of Operational Holdings over size-classes</t>
  </si>
  <si>
    <t>Area of Vested Agricultural Land distributed and Number of Beneficiaries</t>
  </si>
  <si>
    <t>Area  
(Sq. Km.)
(2001)</t>
  </si>
  <si>
    <t>Percentage of Irrigated area to Cultivated area</t>
  </si>
  <si>
    <t>Classification of Forest Area, Out-turn of Forest Produce, Revenue and Expenditure</t>
  </si>
  <si>
    <t>Inhabited Villages (R)</t>
  </si>
  <si>
    <t>Veterinary Hospitals, Veterinary Personnel and Cases treated</t>
  </si>
  <si>
    <t>Length of Roads maintained by Municipalities</t>
  </si>
  <si>
    <t xml:space="preserve">Net Collection from Small Savings </t>
  </si>
  <si>
    <t>Some Basic Statistics about the Blocks</t>
  </si>
  <si>
    <t>Persons Engaged in Agriculture in the Blocks</t>
  </si>
  <si>
    <t>Source of Irrigation and Area Irrigated by different sources in the Blocks</t>
  </si>
  <si>
    <t>Particulars of  Fisheries in the Blocks</t>
  </si>
  <si>
    <t>Length of Roads maintained by different agencies in the Blocks</t>
  </si>
  <si>
    <t>Transport Facilities in the Blocks</t>
  </si>
  <si>
    <t>Area, Production and Yield rates of Major Crops in the Blocks</t>
  </si>
  <si>
    <t>Sub-divisions</t>
  </si>
  <si>
    <t>Municipal Corporations</t>
  </si>
  <si>
    <t>Municipalities</t>
  </si>
  <si>
    <t>Blocks</t>
  </si>
  <si>
    <t>Annual Rainfall</t>
  </si>
  <si>
    <t>University (Gen. &amp; Tech.)</t>
  </si>
  <si>
    <t>Post &amp; Telegraph Offices (Combined)</t>
  </si>
  <si>
    <t>Micro &amp; Small Scale Enterprises</t>
  </si>
  <si>
    <t>Applicants on Live-register</t>
  </si>
  <si>
    <t>Net Collection from Small Savings</t>
  </si>
  <si>
    <t>Sq. Km.</t>
  </si>
  <si>
    <t>Kg. per hect.</t>
  </si>
  <si>
    <t>GENERAL UNIVERSITIES (excluding completely Technical Universities)</t>
  </si>
  <si>
    <r>
      <t xml:space="preserve">Recognized </t>
    </r>
    <r>
      <rPr>
        <b/>
        <u/>
        <sz val="10"/>
        <color indexed="62"/>
        <rFont val="Arial"/>
        <family val="2"/>
      </rPr>
      <t>Primary Schools</t>
    </r>
    <r>
      <rPr>
        <b/>
        <sz val="10"/>
        <color indexed="62"/>
        <rFont val="Arial"/>
        <family val="2"/>
      </rPr>
      <t xml:space="preserve"> under the control of or 
of  the type of</t>
    </r>
  </si>
  <si>
    <r>
      <t xml:space="preserve">Recognized </t>
    </r>
    <r>
      <rPr>
        <b/>
        <u/>
        <sz val="10"/>
        <color indexed="62"/>
        <rFont val="Arial"/>
        <family val="2"/>
      </rPr>
      <t>High Schools</t>
    </r>
    <r>
      <rPr>
        <b/>
        <sz val="10"/>
        <color indexed="62"/>
        <rFont val="Arial"/>
        <family val="2"/>
      </rPr>
      <t xml:space="preserve"> under the control of or 
of  the type of</t>
    </r>
  </si>
  <si>
    <t>GENERAL UNIVERSITIES (excluding completely 
Technical Universities)</t>
  </si>
  <si>
    <r>
      <t xml:space="preserve">Recognized </t>
    </r>
    <r>
      <rPr>
        <b/>
        <u/>
        <sz val="10"/>
        <color indexed="62"/>
        <rFont val="Arial"/>
        <family val="2"/>
      </rPr>
      <t>Higher Secondary Schools</t>
    </r>
    <r>
      <rPr>
        <b/>
        <sz val="10"/>
        <color indexed="62"/>
        <rFont val="Arial"/>
        <family val="2"/>
      </rPr>
      <t xml:space="preserve"> under the 
control of or of  the type of</t>
    </r>
  </si>
  <si>
    <r>
      <t xml:space="preserve">Recognized </t>
    </r>
    <r>
      <rPr>
        <b/>
        <u/>
        <sz val="10"/>
        <color indexed="62"/>
        <rFont val="Arial"/>
        <family val="2"/>
      </rPr>
      <t>Middle Schools</t>
    </r>
    <r>
      <rPr>
        <b/>
        <sz val="10"/>
        <color indexed="62"/>
        <rFont val="Arial"/>
        <family val="2"/>
      </rPr>
      <t xml:space="preserve"> under the control of 
or of  the type of</t>
    </r>
  </si>
  <si>
    <t xml:space="preserve">           DVH - District Veterinary Hospital</t>
  </si>
  <si>
    <t xml:space="preserve">           AIC - Artificial Insemination Centre </t>
  </si>
  <si>
    <t xml:space="preserve">           ABAHC - Additional Block Animal Health Centre</t>
  </si>
  <si>
    <t>Note : SAHC - State Animal Health Centre</t>
  </si>
  <si>
    <t xml:space="preserve">           BAHC - Block Animal Health Centre</t>
  </si>
  <si>
    <t xml:space="preserve">           ADAC - Animal Development Aid Centre</t>
  </si>
  <si>
    <t xml:space="preserve">           MAHC - Mobile Animal Health Centre</t>
  </si>
  <si>
    <t>Source : Deputy Director of Small Savings, 
South 24-Parganas</t>
  </si>
  <si>
    <t>Canning 
I &amp; II</t>
  </si>
  <si>
    <t>Jaynagar 
I &amp; II</t>
  </si>
  <si>
    <t>Bishnupur 
I &amp; II</t>
  </si>
  <si>
    <t>Budge Budge 
I &amp; II</t>
  </si>
  <si>
    <t>Bhangar 
I &amp; II</t>
  </si>
  <si>
    <t>2013-14</t>
  </si>
  <si>
    <t>Mograhat 
I &amp; II</t>
  </si>
  <si>
    <t>Diamond 
Harbour 
I &amp; II</t>
  </si>
  <si>
    <t>Mathurapur 
I &amp; II</t>
  </si>
  <si>
    <t>TABLE 2.9</t>
  </si>
  <si>
    <t>TABLE 3.3(a)</t>
  </si>
  <si>
    <r>
      <t xml:space="preserve">Recognized </t>
    </r>
    <r>
      <rPr>
        <b/>
        <u/>
        <sz val="10"/>
        <color indexed="62"/>
        <rFont val="Arial"/>
        <family val="2"/>
      </rPr>
      <t>Primary Schools</t>
    </r>
    <r>
      <rPr>
        <b/>
        <sz val="10"/>
        <color indexed="62"/>
        <rFont val="Arial"/>
        <family val="2"/>
      </rPr>
      <t xml:space="preserve"> under the control of 
or of  the type of</t>
    </r>
  </si>
  <si>
    <r>
      <t xml:space="preserve">Recognized </t>
    </r>
    <r>
      <rPr>
        <b/>
        <u/>
        <sz val="10"/>
        <color indexed="62"/>
        <rFont val="Arial"/>
        <family val="2"/>
      </rPr>
      <t>High Schools</t>
    </r>
    <r>
      <rPr>
        <b/>
        <sz val="10"/>
        <color indexed="62"/>
        <rFont val="Arial"/>
        <family val="2"/>
      </rPr>
      <t xml:space="preserve"> under the control of 
or of  the type of</t>
    </r>
  </si>
  <si>
    <r>
      <t xml:space="preserve">Recognized </t>
    </r>
    <r>
      <rPr>
        <b/>
        <u/>
        <sz val="10"/>
        <color indexed="62"/>
        <rFont val="Arial"/>
        <family val="2"/>
      </rPr>
      <t>Higher Secondary Schools</t>
    </r>
    <r>
      <rPr>
        <b/>
        <sz val="10"/>
        <color indexed="62"/>
        <rFont val="Arial"/>
        <family val="2"/>
      </rPr>
      <t xml:space="preserve"> under 
the control of or of  the type of</t>
    </r>
  </si>
  <si>
    <t>3) Education cell under each Municipality / Local Body</t>
  </si>
  <si>
    <t>TABLE 8.2</t>
  </si>
  <si>
    <t>Manufacture of paper and paper products</t>
  </si>
  <si>
    <t>Manufacture of chemicals and chemical products</t>
  </si>
  <si>
    <t>Manufacture of other non-metallic mineral products</t>
  </si>
  <si>
    <t>Manufacture of basic metals</t>
  </si>
  <si>
    <t>2010-11</t>
  </si>
  <si>
    <t>Manufacture of other transport equipment</t>
  </si>
  <si>
    <t>No. of Trips conducted</t>
  </si>
  <si>
    <t>(41)</t>
  </si>
  <si>
    <t>(42)</t>
  </si>
  <si>
    <t>(43)</t>
  </si>
  <si>
    <t>(44)</t>
  </si>
  <si>
    <t>Mini Bus</t>
  </si>
  <si>
    <t>Stage Carriage</t>
  </si>
  <si>
    <t>No. of persons injured</t>
  </si>
  <si>
    <t>Post Office</t>
  </si>
  <si>
    <t>Telegraph Office</t>
  </si>
  <si>
    <t>Combined Office</t>
  </si>
  <si>
    <t>Source : Post Master General, West Bengal Circle</t>
  </si>
  <si>
    <t>Name of Block</t>
  </si>
  <si>
    <t xml:space="preserve">        (Number)</t>
  </si>
  <si>
    <t>Sl.</t>
  </si>
  <si>
    <t>Institution</t>
  </si>
  <si>
    <t>Student</t>
  </si>
  <si>
    <t>Teacher</t>
  </si>
  <si>
    <t>Bargadars</t>
  </si>
  <si>
    <t>farmers*</t>
  </si>
  <si>
    <t>TECHNICAL SCHOOLS</t>
  </si>
  <si>
    <t xml:space="preserve">                      Total</t>
  </si>
  <si>
    <t>Fresh registration 
during the year</t>
  </si>
  <si>
    <t>Placement effected 
during the year</t>
  </si>
  <si>
    <t>Vacancies notified 
during the year</t>
  </si>
  <si>
    <t>Patients treated in Hospitals, Health Centres and Sub-centres</t>
  </si>
  <si>
    <t>Births and Deaths in different Hospitals and Health Centres</t>
  </si>
  <si>
    <t>TECHNICAL COLLEGES</t>
  </si>
  <si>
    <t>TECHNICAL UNIVERSITIES</t>
  </si>
  <si>
    <t>District Total</t>
  </si>
  <si>
    <t>Maskalai</t>
  </si>
  <si>
    <t>Mustard</t>
  </si>
  <si>
    <t>Linseed</t>
  </si>
  <si>
    <t>Prod.</t>
  </si>
  <si>
    <t>Yield</t>
  </si>
  <si>
    <t>Prod.*</t>
  </si>
  <si>
    <t>Yield**</t>
  </si>
  <si>
    <t>Canal</t>
  </si>
  <si>
    <t>Area</t>
  </si>
  <si>
    <t xml:space="preserve"> </t>
  </si>
  <si>
    <t>No. of Govt. Schemes operated</t>
  </si>
  <si>
    <t>Honey</t>
  </si>
  <si>
    <t>Wax</t>
  </si>
  <si>
    <t>Cattle</t>
  </si>
  <si>
    <t>Buffaloes</t>
  </si>
  <si>
    <t>Poultry Birds</t>
  </si>
  <si>
    <t>Number of Bank offices</t>
  </si>
  <si>
    <t>Gramin Bank</t>
  </si>
  <si>
    <t>Unsurfaced</t>
  </si>
  <si>
    <t>Number of Cinema House</t>
  </si>
  <si>
    <t>Land under misc. tree groves not included in Net area sown</t>
  </si>
  <si>
    <t>Number of</t>
  </si>
  <si>
    <t>Type of society / Year</t>
  </si>
  <si>
    <t xml:space="preserve">                                                                                                    (Number)</t>
  </si>
  <si>
    <t xml:space="preserve">No. of persons engaged in the profession </t>
  </si>
  <si>
    <t>Sl.  No.</t>
  </si>
  <si>
    <t>TABLE 1.3</t>
  </si>
  <si>
    <t>TABLE 1.4</t>
  </si>
  <si>
    <t>Diamond Harbour-I*</t>
  </si>
  <si>
    <t>* Including figures of Diamond Harbour(M)</t>
  </si>
  <si>
    <t>Total Revenue Receipt</t>
  </si>
  <si>
    <t>(Per cent)</t>
  </si>
  <si>
    <r>
      <t>Maize</t>
    </r>
    <r>
      <rPr>
        <vertAlign val="superscript"/>
        <sz val="10"/>
        <color indexed="21"/>
        <rFont val="Arial"/>
        <family val="2"/>
      </rPr>
      <t>#</t>
    </r>
  </si>
  <si>
    <r>
      <t>#</t>
    </r>
    <r>
      <rPr>
        <sz val="9"/>
        <rFont val="Arial"/>
        <family val="2"/>
      </rPr>
      <t xml:space="preserve"> Bhadui Maize only</t>
    </r>
  </si>
  <si>
    <t>935 (I)</t>
  </si>
  <si>
    <t>750 (I)</t>
  </si>
  <si>
    <t>6016 (I)</t>
  </si>
  <si>
    <t>9348 (I)</t>
  </si>
  <si>
    <t>11348 (I)</t>
  </si>
  <si>
    <t>17634 (I)</t>
  </si>
  <si>
    <t>Assembly and Parliamentary Constituencies</t>
  </si>
  <si>
    <t>Police 
Station</t>
  </si>
  <si>
    <t>Police
 Station</t>
  </si>
  <si>
    <t>3) Census of India, 2001&amp; 2011</t>
  </si>
  <si>
    <t xml:space="preserve">Note : Base 1901=100 for undivided 24-Parganas
 from 1901 to 1971 &amp; Base 1981=100 only for 
South 24-Parganas from 1981onwards </t>
  </si>
  <si>
    <t xml:space="preserve">Chandpur  </t>
  </si>
  <si>
    <t xml:space="preserve">Bangsidharpur </t>
  </si>
  <si>
    <t xml:space="preserve">Purba Bishnupur </t>
  </si>
  <si>
    <t xml:space="preserve">Baruipur  </t>
  </si>
  <si>
    <t xml:space="preserve">Salipur </t>
  </si>
  <si>
    <r>
      <t>Note</t>
    </r>
    <r>
      <rPr>
        <sz val="9"/>
        <color indexed="57"/>
        <rFont val="Arial"/>
        <family val="2"/>
      </rPr>
      <t xml:space="preserve"> : Total Workers = Main workers + Marginal workers</t>
    </r>
  </si>
  <si>
    <t>Mental Retardation</t>
  </si>
  <si>
    <t>Students by sex in different type of General Educational Institutions</t>
  </si>
  <si>
    <t>Students by sex in different type of Professional &amp; Technical Educational Institutions</t>
  </si>
  <si>
    <t>TABLE 4.4</t>
  </si>
  <si>
    <t>Professional &amp; Technical School,
College &amp; University</t>
  </si>
  <si>
    <t>General College &amp; University 
(Excluding Open University)</t>
  </si>
  <si>
    <t>TABLE  6.2</t>
  </si>
  <si>
    <t xml:space="preserve">Source : </t>
  </si>
  <si>
    <t>Year 
(as on the 
last Friday 
of June)</t>
  </si>
  <si>
    <t>TABLE 8.3 (Concld.)</t>
  </si>
  <si>
    <t>Baruipur Sub-Division</t>
  </si>
  <si>
    <t>Canning Sub-Division</t>
  </si>
  <si>
    <t>D-Harbour Sub-Division</t>
  </si>
  <si>
    <t>Kakdwip Sub-Division</t>
  </si>
  <si>
    <r>
      <t xml:space="preserve">Year
</t>
    </r>
    <r>
      <rPr>
        <sz val="9"/>
        <color indexed="10"/>
        <rFont val="Arial Narrow"/>
        <family val="2"/>
      </rPr>
      <t>(Census)</t>
    </r>
  </si>
  <si>
    <t>SL.
No.</t>
  </si>
  <si>
    <t>P.C to 
total 
Popu-
lation 
of the 
Block</t>
  </si>
  <si>
    <t>** In bales per hectare</t>
  </si>
  <si>
    <t>TABLE 18.1</t>
  </si>
  <si>
    <t>Sl.
No.</t>
  </si>
  <si>
    <t>Gram Panchayat &amp; 
Panchayat Samity</t>
  </si>
  <si>
    <t>Students by sex in different type of Special &amp; Non-formal Educational Institutions</t>
  </si>
  <si>
    <t xml:space="preserve">Teachers in different type of Professional &amp; Technical Educational Institutions </t>
  </si>
  <si>
    <t>Teachers in different type of Special &amp; Non-formal Educational Institutions</t>
  </si>
  <si>
    <t xml:space="preserve">                    Male</t>
  </si>
  <si>
    <t>Percentage of Population :</t>
  </si>
  <si>
    <t>Yield rate of Rice</t>
  </si>
  <si>
    <t>Mouzas</t>
  </si>
  <si>
    <t>House-holds</t>
  </si>
  <si>
    <t>No. of Un-reserved Constituencies</t>
  </si>
  <si>
    <t>No. of Constituencies reserved for</t>
  </si>
  <si>
    <t>Urban Population</t>
  </si>
  <si>
    <t>Rural Population</t>
  </si>
  <si>
    <t xml:space="preserve">Population </t>
  </si>
  <si>
    <t>TABLE 1.1</t>
  </si>
  <si>
    <t>Alipore 
Sub-Division</t>
  </si>
  <si>
    <t>Baruipur 
Sub-Division</t>
  </si>
  <si>
    <t>Canning 
Sub-Division</t>
  </si>
  <si>
    <t>Kakdwip 
Sub-Division</t>
  </si>
  <si>
    <t>TABLE 2.4(a)</t>
  </si>
  <si>
    <t>TABLE 2.5(a)</t>
  </si>
  <si>
    <t>TABLE 2.5(b)</t>
  </si>
  <si>
    <t>TABLE 2.6</t>
  </si>
  <si>
    <t>TABLE 2.8</t>
  </si>
  <si>
    <t>TABLE 2.10</t>
  </si>
  <si>
    <t>TABLE 3.2(a)</t>
  </si>
  <si>
    <t>TABLE 3.3</t>
  </si>
  <si>
    <t>TABLE 4.1(a)</t>
  </si>
  <si>
    <t>TABLE 4.1(b)</t>
  </si>
  <si>
    <t>TABLE 4.1(c)</t>
  </si>
  <si>
    <t>TABLE 4.2(a)</t>
  </si>
  <si>
    <t>TABLE 4.2(b)</t>
  </si>
  <si>
    <t>TABLE 4.2(c)</t>
  </si>
  <si>
    <t>Sub-Div. / 
C.D.Block / M</t>
  </si>
  <si>
    <t>All Religions</t>
  </si>
  <si>
    <t>No. of Cases treated</t>
  </si>
  <si>
    <t>All other Commercial &amp; Vocational Institutions (Affiliated to W.B.State Council of Technical Education)</t>
  </si>
  <si>
    <t>Madhyamik Siksha Kendras</t>
  </si>
  <si>
    <t>Revenue collected from different sources</t>
  </si>
  <si>
    <t>Others
(CC+OP+MTP etc.)</t>
  </si>
  <si>
    <t>No. of Ferry Services</t>
  </si>
  <si>
    <t>No. of Originating / Terminating Bus Routes</t>
  </si>
  <si>
    <t>per cent</t>
  </si>
  <si>
    <t xml:space="preserve">Agricultural
 irrigation &amp; dewatering    </t>
  </si>
  <si>
    <t>Centres of Rabindra Mukta Vidyalaya</t>
  </si>
  <si>
    <t>Educational Institutions for the Blind &amp; Other Physically &amp; Mentally Handicapped</t>
  </si>
  <si>
    <t>Type of Institution</t>
  </si>
  <si>
    <t>3) District Mass Education Extension Officer</t>
  </si>
  <si>
    <t>N.B.: Literacy relates to population aged 7 years and above</t>
  </si>
  <si>
    <t>(Area in thousand hectares)</t>
  </si>
  <si>
    <t>No.of holdings</t>
  </si>
  <si>
    <t>Area of holdings</t>
  </si>
  <si>
    <t>Average size of holdings (hect.)</t>
  </si>
  <si>
    <t>Other Fibres</t>
  </si>
  <si>
    <t>Total Fibres</t>
  </si>
  <si>
    <t>Fibres : *</t>
  </si>
  <si>
    <t>Rapeseed &amp; Mustard</t>
  </si>
  <si>
    <t>All crops
combined</t>
  </si>
  <si>
    <t>Source : Director, National Atlas, Govt. of India</t>
  </si>
  <si>
    <t>Brackish-water Fisher Farmer's Development Agencies 
(B.F.D.A.), South 24-Parganas</t>
  </si>
  <si>
    <t>Marine-water Fish Farmer's Development Agency 
(M.F.D.A.), South 24-Parganas</t>
  </si>
  <si>
    <t>1) Dy. C.M.O.H. - II, South 24-Parganas</t>
  </si>
  <si>
    <t>1) D.I. of Schools (Primary)</t>
  </si>
  <si>
    <t>2) D.I. of Schools (Secondary)</t>
  </si>
  <si>
    <t>Agri-income Tax Officer, Kolkata Range-II,</t>
  </si>
  <si>
    <t>Area of land distributed (Hectare)</t>
  </si>
  <si>
    <t>Misc. Flower</t>
  </si>
  <si>
    <t>Source : Live-stock Census Report, Govt. of  W.B.</t>
  </si>
  <si>
    <t>Deposits
(Rs. in Crore)</t>
  </si>
  <si>
    <t>Advances
(Rs. in Crore)</t>
  </si>
  <si>
    <t>No. of offices</t>
  </si>
  <si>
    <t>Sum Assured 
(Rs. in Crore)</t>
  </si>
  <si>
    <t>Amount of loan (Rs. in thousand)</t>
  </si>
  <si>
    <t>(Base : 2006-07= 100)</t>
  </si>
  <si>
    <t>Working Capital
( ' 000 Rs.)</t>
  </si>
  <si>
    <t>Distance of the nearest Rly. Stn. from the Block H.Q. (K.M.)</t>
  </si>
  <si>
    <t>Vested waste land</t>
  </si>
  <si>
    <t>Warehouses</t>
  </si>
  <si>
    <t>Cold Storages</t>
  </si>
  <si>
    <t xml:space="preserve">Chandpala Anantapathpur </t>
  </si>
  <si>
    <t>Ganye Gangadharpur</t>
  </si>
  <si>
    <t xml:space="preserve">Rameswarpur </t>
  </si>
  <si>
    <t>Bishnupur (Part)</t>
  </si>
  <si>
    <t>Budge-Budge(Part)
Nodakhali (Part)</t>
  </si>
  <si>
    <t>Nodakhali (Part)</t>
  </si>
  <si>
    <t>Jaynagar(Part)
Kultali (Part)</t>
  </si>
  <si>
    <t>Kultali (Part)
Maipith Coastal</t>
  </si>
  <si>
    <t>** Entire Baruipur Sub-Division is controlled by Baruipur Women Police Station</t>
  </si>
  <si>
    <t>Bhangar, 
Kolkata Leather- 
Complex (Part)</t>
  </si>
  <si>
    <t>Canning, 
Jibantala (Part)</t>
  </si>
  <si>
    <t>Jibantala (Part)</t>
  </si>
  <si>
    <t>Gosaba, 
Sunderban Coastal</t>
  </si>
  <si>
    <t>Kulpi, 
Dholarhat (Part)</t>
  </si>
  <si>
    <t>Mathurapur,
Dholarhat (Part)</t>
  </si>
  <si>
    <t>Kakdwip (Part),
Dholarhat (Part)</t>
  </si>
  <si>
    <t>N.B.: Dholarhat P.S. is under Kakdwip S.D.P.O</t>
  </si>
  <si>
    <t>4^</t>
  </si>
  <si>
    <t>^ Joka-I and Joka-II has now been included in KMC</t>
  </si>
  <si>
    <t xml:space="preserve">Asuti </t>
  </si>
  <si>
    <t xml:space="preserve">Hanspukuria </t>
  </si>
  <si>
    <t xml:space="preserve">Kalua </t>
  </si>
  <si>
    <t xml:space="preserve">Ramchandrapur </t>
  </si>
  <si>
    <t xml:space="preserve">Bhangar Raghunathpur </t>
  </si>
  <si>
    <t>246445 (I)</t>
  </si>
  <si>
    <t>252888 (I)</t>
  </si>
  <si>
    <t xml:space="preserve">Gobindapur </t>
  </si>
  <si>
    <t xml:space="preserve">          BCG = Bacillus Calmette Guerin</t>
  </si>
  <si>
    <t>Bulls and Bullocks</t>
  </si>
  <si>
    <t>Total Cattle</t>
  </si>
  <si>
    <t>Total Buffaloes</t>
  </si>
  <si>
    <t>Sheep</t>
  </si>
  <si>
    <t>Other Live-stock</t>
  </si>
  <si>
    <t>Total Live-stock</t>
  </si>
  <si>
    <t>Note :-  Assembly : Kasba, Jadavpur, Tollyganj, Behala Paschim, Behala Purba(partly) &amp; Metiaburuz(partly) are with K.M.C. area,
Parliamentary : Jadavpur &amp; Kolkata Dakshin are partly with K.M.C. area</t>
  </si>
  <si>
    <t>Total Poultry</t>
  </si>
  <si>
    <t>Agricultural Credit Societies</t>
  </si>
  <si>
    <t>Non-Agricultural Credit Societies</t>
  </si>
  <si>
    <t>Non-Credit Societies</t>
  </si>
  <si>
    <t>Density of Population</t>
  </si>
  <si>
    <t>per sq. Km.</t>
  </si>
  <si>
    <t xml:space="preserve">                        Minimum</t>
  </si>
  <si>
    <t>Hospitals, Health Centres etc.</t>
  </si>
  <si>
    <t>Family Welfare Centres</t>
  </si>
  <si>
    <t>Diamond Harbour 
Sub-Division</t>
  </si>
  <si>
    <t>Diamond Harbour
 Sub-Division</t>
  </si>
  <si>
    <t>Census of India, 2011</t>
  </si>
  <si>
    <t>B.L. &amp; L.R.O.s, South 24-Parganas</t>
  </si>
  <si>
    <t>494327 (R)</t>
  </si>
  <si>
    <t>Agricultural Census (W.B.), 2010-11</t>
  </si>
  <si>
    <t>State Government Offices</t>
  </si>
  <si>
    <t>Source :</t>
  </si>
  <si>
    <t>Directorate of Agriculture, Govt. of W.B.</t>
  </si>
  <si>
    <t>Mean Maximum and Mean Minimum Temperature by month 
in the district of South 24-Parganas</t>
  </si>
  <si>
    <t>Scheduled Caste</t>
  </si>
  <si>
    <t>Scheduled Tribe</t>
  </si>
  <si>
    <t>Source : Heads of  all professional &amp; Technical institutions, South 24-Parganas</t>
  </si>
  <si>
    <t>Scheduled
 Caste</t>
  </si>
  <si>
    <t>Scheduled 
Tribe</t>
  </si>
  <si>
    <t>No. of persons died</t>
  </si>
  <si>
    <t>No. of Tourists Carried</t>
  </si>
  <si>
    <t>No.of Tourists Staying in Tourist Lodges</t>
  </si>
  <si>
    <t>No. of Tourist Lodges (Govt.)</t>
  </si>
  <si>
    <t>Police Stations</t>
  </si>
  <si>
    <t>Out-posts</t>
  </si>
  <si>
    <t>Collection</t>
  </si>
  <si>
    <t>No. of Members</t>
  </si>
  <si>
    <t>TABLE 1.2</t>
  </si>
  <si>
    <t>' 000 Rs.</t>
  </si>
  <si>
    <t>GENERAL RECOGNIZED SCHOOLS</t>
  </si>
  <si>
    <t>GENERAL DEGREE COLLEGES</t>
  </si>
  <si>
    <t>CENTRES OF OPEN UNIVERSITIES</t>
  </si>
  <si>
    <t>TABLE 2.1</t>
  </si>
  <si>
    <t>TABLE 2.1(b)</t>
  </si>
  <si>
    <t>Name of 
Block</t>
  </si>
  <si>
    <t>Bureau  of  Applied  Economics  &amp;  Statistics</t>
  </si>
  <si>
    <t>Government  of  West Bengal</t>
  </si>
  <si>
    <t>DISTRICT STATISTICAL HANDBOOK</t>
  </si>
  <si>
    <t>PREFACE</t>
  </si>
  <si>
    <t>Dated, Kolkata</t>
  </si>
  <si>
    <t>Bureau of Applied Economics &amp; Statistics</t>
  </si>
  <si>
    <t>Sources : As in table No. 4.1(a), 4.1(b) &amp; 4.1(c)</t>
  </si>
  <si>
    <t xml:space="preserve">   Government of West Bengal</t>
  </si>
  <si>
    <t xml:space="preserve">* * * * * * * * </t>
  </si>
  <si>
    <t>South 24-Parganas</t>
  </si>
  <si>
    <t>Popu-
lation</t>
  </si>
  <si>
    <t>(Population in Number)</t>
  </si>
  <si>
    <t>Govt. of India including Central Govt. Undertaking</t>
  </si>
  <si>
    <t>4) Each I.C.S.E, C.B.S.E, Anglo Indian and Rly. School</t>
  </si>
  <si>
    <t>Registered Factories (C)
( Registered under Factory Act )
(as on 31st December)</t>
  </si>
  <si>
    <t>4) Each Anglo Indian, ICSE, CBSE &amp; Railway School</t>
  </si>
  <si>
    <t>4) Each Anglo Indian, ICSE, CBSE &amp; Rly. School</t>
  </si>
  <si>
    <t>(a) General Stream (Including independent H.S.School)</t>
  </si>
  <si>
    <t>Other Departments of Govt.of West Bengal including State Govt. Undertaking</t>
  </si>
  <si>
    <r>
      <t xml:space="preserve">Recognized </t>
    </r>
    <r>
      <rPr>
        <b/>
        <u/>
        <sz val="10"/>
        <color indexed="18"/>
        <rFont val="Arial"/>
        <family val="2"/>
      </rPr>
      <t>Primary Schools</t>
    </r>
    <r>
      <rPr>
        <b/>
        <sz val="10"/>
        <color indexed="18"/>
        <rFont val="Arial"/>
        <family val="2"/>
      </rPr>
      <t xml:space="preserve"> under the control of or of the type of</t>
    </r>
  </si>
  <si>
    <r>
      <t xml:space="preserve">Recognized </t>
    </r>
    <r>
      <rPr>
        <b/>
        <u/>
        <sz val="10"/>
        <color indexed="18"/>
        <rFont val="Arial"/>
        <family val="2"/>
      </rPr>
      <t>Middle Schools</t>
    </r>
    <r>
      <rPr>
        <b/>
        <sz val="10"/>
        <color indexed="18"/>
        <rFont val="Arial"/>
        <family val="2"/>
      </rPr>
      <t xml:space="preserve"> under the control of or of the type of</t>
    </r>
  </si>
  <si>
    <r>
      <t xml:space="preserve">Recognized </t>
    </r>
    <r>
      <rPr>
        <b/>
        <u/>
        <sz val="10"/>
        <color indexed="18"/>
        <rFont val="Arial"/>
        <family val="2"/>
      </rPr>
      <t>High Schools</t>
    </r>
    <r>
      <rPr>
        <b/>
        <sz val="10"/>
        <color indexed="18"/>
        <rFont val="Arial"/>
        <family val="2"/>
      </rPr>
      <t xml:space="preserve"> under the control of or of the type of</t>
    </r>
  </si>
  <si>
    <t xml:space="preserve">
2.</t>
  </si>
  <si>
    <t>Chief Inspector of Factories, Govt. of  W.B.</t>
  </si>
  <si>
    <t>B.A.E.&amp; S., Govt. of  W.B.</t>
  </si>
  <si>
    <t>TABLE 8.1</t>
  </si>
  <si>
    <t>Directorate of Micro &amp; Small Scale Enterprises, Govt. of W.B.</t>
  </si>
  <si>
    <t>(a) Medical (Allopathic, Dental, Homeopathic, Ayurvedic) Colleges</t>
  </si>
  <si>
    <t>Miscellaneous crops:</t>
  </si>
  <si>
    <t>Source : Directorate of Food Processing Industries and Horticulture, Govt. of W.B.</t>
  </si>
  <si>
    <t>AIC (Including Pranibandhu 
&amp; Co-operatives)</t>
  </si>
  <si>
    <t xml:space="preserve">Municipality </t>
  </si>
  <si>
    <t>CONTENTS (Concld.)</t>
  </si>
  <si>
    <t>Progress of L.I.C.</t>
  </si>
  <si>
    <t>Table No.</t>
  </si>
  <si>
    <t>Page No.</t>
  </si>
  <si>
    <t>(1) Collectorate (Election Deptt.)</t>
  </si>
  <si>
    <t>(2) Collectorate (L.S.G. Cell)</t>
  </si>
  <si>
    <t>Sonarpur(Part)</t>
  </si>
  <si>
    <t>Population      (Number)</t>
  </si>
  <si>
    <t>Density of Population 
( per Sq. Km.)</t>
  </si>
  <si>
    <t>P.C. of Population to district Population</t>
  </si>
  <si>
    <t>Total Workers (TW)</t>
  </si>
  <si>
    <t>P.C. to respective total population</t>
  </si>
  <si>
    <t>Religious Community</t>
  </si>
  <si>
    <t>P.C. to total population of the district</t>
  </si>
  <si>
    <t>Population by religion and by sex in the district of South 24 Parganas, 2001</t>
  </si>
  <si>
    <t>1) Dy. Chief Medical Officer of Health-I &amp; II,  South 24-Parganas</t>
  </si>
  <si>
    <t>3) State Bureau of Health Inteligence, Govt.of  W.B.</t>
  </si>
  <si>
    <t>Mental Illness</t>
  </si>
  <si>
    <t>Other Disability</t>
  </si>
  <si>
    <t>Multiple Disability</t>
  </si>
  <si>
    <t>Rural
 Population</t>
  </si>
  <si>
    <t xml:space="preserve">Total
 Population </t>
  </si>
  <si>
    <t>No. of
 Males</t>
  </si>
  <si>
    <t>No. of
 Females</t>
  </si>
  <si>
    <t>82.14</t>
  </si>
  <si>
    <t>75.68</t>
  </si>
  <si>
    <t>86.76</t>
  </si>
  <si>
    <t>78.42</t>
  </si>
  <si>
    <t>82.67</t>
  </si>
  <si>
    <t>83.35</t>
  </si>
  <si>
    <t>77.51</t>
  </si>
  <si>
    <t>Source : Census of India,  2011</t>
  </si>
  <si>
    <t>(2011)</t>
  </si>
  <si>
    <t>Census
 Town</t>
  </si>
  <si>
    <t>Municipal
 Corporation</t>
  </si>
  <si>
    <t>Notified
 Area</t>
  </si>
  <si>
    <t>Notified 
Area</t>
  </si>
  <si>
    <t>Name of 
Zilla Parishad</t>
  </si>
  <si>
    <t>Population (2011)</t>
  </si>
  <si>
    <t>Dy. Chief Medical Officer of Health-III, South 24 Parganas</t>
  </si>
  <si>
    <t>Super / Director of the respective (L.S.G./Private) Hospitals</t>
  </si>
  <si>
    <t>Source : Dy. C.M.O.H. - III, South 24-Parganas</t>
  </si>
  <si>
    <t>Sub-centres</t>
  </si>
  <si>
    <t xml:space="preserve"> (Under K.M.C. area)</t>
  </si>
  <si>
    <t>Reformatory or certified Institutions or Welfare Homes under Social Welfare Deptt. for the Juveniles or destitute children or the children of red-light areas</t>
  </si>
  <si>
    <t>Social Welfare Homes under M.E.E. Deptt.</t>
  </si>
  <si>
    <t>(Thousand hectares)</t>
  </si>
  <si>
    <t>(Thousand tonnes)</t>
  </si>
  <si>
    <t>' 000 MT</t>
  </si>
  <si>
    <t>Rs. in thousand</t>
  </si>
  <si>
    <t>Milk (Thousand tonnes)</t>
  </si>
  <si>
    <t>Egg (Number in thousand)</t>
  </si>
  <si>
    <t>Working capital (Rs. in thousand)</t>
  </si>
  <si>
    <t>TABLE 2.7 (Contd.)</t>
  </si>
  <si>
    <t>TABLE 2.7</t>
  </si>
  <si>
    <t>TABLE 2.7 (Concld.)</t>
  </si>
  <si>
    <t>TABLE 2.10(a) (Contd.)</t>
  </si>
  <si>
    <t>TABLE 2.11</t>
  </si>
  <si>
    <t>TABLE 3.1 (Concld.)</t>
  </si>
  <si>
    <t>Out-
growth</t>
  </si>
  <si>
    <t xml:space="preserve"> Sources : 1)</t>
  </si>
  <si>
    <t>TABLE 3.2 (Concld.)</t>
  </si>
  <si>
    <r>
      <t xml:space="preserve">Recognized </t>
    </r>
    <r>
      <rPr>
        <b/>
        <u/>
        <sz val="10"/>
        <color indexed="18"/>
        <rFont val="Arial"/>
        <family val="2"/>
      </rPr>
      <t>Higher Secondary Schools</t>
    </r>
    <r>
      <rPr>
        <b/>
        <sz val="10"/>
        <color indexed="18"/>
        <rFont val="Arial"/>
        <family val="2"/>
      </rPr>
      <t xml:space="preserve"> under the control of or of  the type of</t>
    </r>
  </si>
  <si>
    <t>6) Each College and Study Centre</t>
  </si>
  <si>
    <t>Agricultural Meteorologist,</t>
  </si>
  <si>
    <t>DTW</t>
  </si>
  <si>
    <t>Expendi-
ture
('000 Rs.)</t>
  </si>
  <si>
    <t>Assistance 
to needy 
fishermen
('000 Rs.)</t>
  </si>
  <si>
    <t>Approx. annual production
(qtl.)</t>
  </si>
  <si>
    <t>Rice (Aman Fine)</t>
  </si>
  <si>
    <t>Average
  population 
per office* (in thousand)</t>
  </si>
  <si>
    <r>
      <t>28</t>
    </r>
    <r>
      <rPr>
        <vertAlign val="superscript"/>
        <sz val="10"/>
        <rFont val="Arial"/>
        <family val="2"/>
      </rPr>
      <t>#</t>
    </r>
  </si>
  <si>
    <t>-2851298 *</t>
  </si>
  <si>
    <t>1940 (E)</t>
  </si>
  <si>
    <t>1984 (E)</t>
  </si>
  <si>
    <t>Khesari</t>
  </si>
  <si>
    <t>(Degree Celsius)</t>
  </si>
  <si>
    <r>
      <t xml:space="preserve">                </t>
    </r>
    <r>
      <rPr>
        <b/>
        <u/>
        <sz val="12"/>
        <color indexed="62"/>
        <rFont val="Arial"/>
        <family val="2"/>
      </rPr>
      <t>Symbols Used</t>
    </r>
  </si>
  <si>
    <t>Loans repayment by individuals &amp; other societies 
(Rs. in thousand)</t>
  </si>
  <si>
    <t>Source : Directorate of Agriculture Marketing, Govt. of W.B.</t>
  </si>
  <si>
    <t>Source : Deputy Director of Employment Exchanges, South 24-Parganas</t>
  </si>
  <si>
    <t>TABLE 2.4(b)</t>
  </si>
  <si>
    <t>1st year's premium including 
1st premium</t>
  </si>
  <si>
    <t>Source : Dist. Agriculture Marketing Officer, South 24-Pgs.</t>
  </si>
  <si>
    <t>(Number in thousand)</t>
  </si>
  <si>
    <t>Mahestala (M)</t>
  </si>
  <si>
    <t xml:space="preserve">           P.C. = Percentage to respective total population</t>
  </si>
  <si>
    <t>No. of Medical Institutions in</t>
  </si>
  <si>
    <t>Total No.of 
Doctors</t>
  </si>
  <si>
    <t>Local Bodies</t>
  </si>
  <si>
    <t>N.G.O. / Private Bodies (Nursing Homes)</t>
  </si>
  <si>
    <t>Rural Hospitals</t>
  </si>
  <si>
    <t>Block Primary Health Centres</t>
  </si>
  <si>
    <t>Primary Health 
Centres</t>
  </si>
  <si>
    <t xml:space="preserve">                       </t>
  </si>
  <si>
    <t>(f) Institute of Radiology / Pathology / Bio-Chemistry / Laboratory Technology / Radiography / Physiotherapy / Radiotherapy / ECG</t>
  </si>
  <si>
    <t>2005-06</t>
  </si>
  <si>
    <t>Hospitals</t>
  </si>
  <si>
    <t>Progress in Tourism</t>
  </si>
  <si>
    <t xml:space="preserve">Co-operative Societies in the Blocks </t>
  </si>
  <si>
    <t>Sources : 1)</t>
  </si>
  <si>
    <t>(c) I.C.S.E./ C.B.S.E./ Anglo-Indian &amp; Missionaries etc.</t>
  </si>
  <si>
    <t>(f) Institute of Radiology / Pathology / Bio-Chemistry / Laboratory 
Technology / Radiography / Physiotherapy / Radiotherapy
 / ECG</t>
  </si>
  <si>
    <t>(d) Industrial Training Centres (ITC)</t>
  </si>
  <si>
    <t>Department of Statistics &amp; Programme Implementation</t>
  </si>
  <si>
    <t>2)</t>
  </si>
  <si>
    <t>3)</t>
  </si>
  <si>
    <t>4)</t>
  </si>
  <si>
    <t>Source : Directorate of Agriculture Evaluation Wing, Govt. of W.B.</t>
  </si>
  <si>
    <t>Source : Land &amp; Land Reforms Deptt., Govt. of W.B.</t>
  </si>
  <si>
    <t>Coconut(Green)</t>
  </si>
  <si>
    <t>2012-13</t>
  </si>
  <si>
    <t>4832*</t>
  </si>
  <si>
    <t>406 (I)</t>
  </si>
  <si>
    <t>4851 (I)</t>
  </si>
  <si>
    <t>Green Plantain</t>
  </si>
  <si>
    <t>Cucumber</t>
  </si>
  <si>
    <t>Banana(Champa)</t>
  </si>
  <si>
    <t>Banana(Kathali)</t>
  </si>
  <si>
    <t>Dry Chillis</t>
  </si>
  <si>
    <t>Betel Leaves(Bangla)</t>
  </si>
  <si>
    <t xml:space="preserve">                                                                                                                                                                                                                             </t>
  </si>
  <si>
    <t>Sitting Capacity 
(Number)</t>
  </si>
  <si>
    <t>Total Tax Collected 
(Rs.)</t>
  </si>
  <si>
    <t>Paddy Straw</t>
  </si>
  <si>
    <t>1000 Nos.</t>
  </si>
  <si>
    <t>10</t>
  </si>
  <si>
    <t>11</t>
  </si>
  <si>
    <t>12</t>
  </si>
  <si>
    <t>13</t>
  </si>
  <si>
    <t>14</t>
  </si>
  <si>
    <t>15</t>
  </si>
  <si>
    <t>16</t>
  </si>
  <si>
    <t>17</t>
  </si>
  <si>
    <t>18</t>
  </si>
  <si>
    <t>19</t>
  </si>
  <si>
    <t>20</t>
  </si>
  <si>
    <t>21</t>
  </si>
  <si>
    <t>22</t>
  </si>
  <si>
    <t>23</t>
  </si>
  <si>
    <t>24</t>
  </si>
  <si>
    <t>25</t>
  </si>
  <si>
    <t>26</t>
  </si>
  <si>
    <t>27</t>
  </si>
  <si>
    <t>28</t>
  </si>
  <si>
    <t>29</t>
  </si>
  <si>
    <t>30</t>
  </si>
  <si>
    <t>31</t>
  </si>
  <si>
    <t>32</t>
  </si>
  <si>
    <t>33</t>
  </si>
  <si>
    <t>45</t>
  </si>
  <si>
    <t>52</t>
  </si>
  <si>
    <t>59</t>
  </si>
  <si>
    <t>74</t>
  </si>
  <si>
    <t>82</t>
  </si>
  <si>
    <t>95</t>
  </si>
  <si>
    <t>96</t>
  </si>
  <si>
    <t>Base : Triennium ending crop year 1981-82 = 100</t>
  </si>
  <si>
    <t>Cereals</t>
  </si>
  <si>
    <t>Productivity</t>
  </si>
  <si>
    <t xml:space="preserve">Description </t>
  </si>
  <si>
    <t>Year</t>
  </si>
  <si>
    <t>Unit</t>
  </si>
  <si>
    <t>Geographical Location</t>
  </si>
  <si>
    <t>Monthly Rainfall</t>
  </si>
  <si>
    <t>Miscellaneous</t>
  </si>
  <si>
    <t>Brinjal (round)</t>
  </si>
  <si>
    <t>Brinjal (long)</t>
  </si>
  <si>
    <t>(Contd.)</t>
  </si>
  <si>
    <t>4972*</t>
  </si>
  <si>
    <t>30.11.2012</t>
  </si>
  <si>
    <t>30.11.2010</t>
  </si>
  <si>
    <t>30.11.2011</t>
  </si>
  <si>
    <t>Crore Cut 
Flower</t>
  </si>
  <si>
    <t>TABLE 2.6 (Contd.)</t>
  </si>
  <si>
    <t>During the year</t>
  </si>
  <si>
    <t>Upto the year</t>
  </si>
  <si>
    <t>01-03-1986</t>
  </si>
  <si>
    <t>3) Dist. Agri. Marketing Office, South 24-Parganas</t>
  </si>
  <si>
    <t>(contd.)</t>
  </si>
  <si>
    <t>Source : Directorate of Agriculture, Govt. of W.B.</t>
  </si>
  <si>
    <t>Population by religion</t>
  </si>
  <si>
    <t xml:space="preserve">Population by religion &amp; by sex </t>
  </si>
  <si>
    <t>Achievement of Universal Immunization Programme</t>
  </si>
  <si>
    <t>Teachers in different type of General Educational Institutions</t>
  </si>
  <si>
    <t>Cinema Houses</t>
  </si>
  <si>
    <t>Newspapers and Periodicals published</t>
  </si>
  <si>
    <t>Area and Production of Fruits and Vegetables</t>
  </si>
  <si>
    <t>Manufacture of Food Products</t>
  </si>
  <si>
    <t>Manufacture of  beverages</t>
  </si>
  <si>
    <t>Manufacture of Tobacco Products</t>
  </si>
  <si>
    <t>Manufacture of Textiles</t>
  </si>
  <si>
    <t xml:space="preserve">Manufacture of  wearing apparel </t>
  </si>
  <si>
    <t>Manufacture of leather and related products</t>
  </si>
  <si>
    <t>Manufacture of wood and products of wood and cork, except furniture; manufacture of articles of straw and plaiting materials</t>
  </si>
  <si>
    <t>Printing and reproduction of recorded media</t>
  </si>
  <si>
    <t>Manufacture of coke and refined petroleum products</t>
  </si>
  <si>
    <t>Manufacture of fabricated metal products, except machinery and equipment</t>
  </si>
  <si>
    <t>Manufacture of computer, electronic and optical products</t>
  </si>
  <si>
    <t>Manufacture of electrical equipment</t>
  </si>
  <si>
    <t>Manufacture of furniture</t>
  </si>
  <si>
    <t>22º 33' 45" N</t>
  </si>
  <si>
    <t>21º 29'  00" N</t>
  </si>
  <si>
    <t>89º 04'  50" E</t>
  </si>
  <si>
    <t>88º 03' 45" E</t>
  </si>
  <si>
    <t>22º 32' N</t>
  </si>
  <si>
    <t>88º 02'  E</t>
  </si>
  <si>
    <t>Sub-Division / C.D.Block / M / M.C.</t>
  </si>
  <si>
    <t>(b) Junior Madrasahs</t>
  </si>
  <si>
    <t>(a) D.I.(Secondary)</t>
  </si>
  <si>
    <t>(a) General Stream (Including Independent H.S. School</t>
  </si>
  <si>
    <t>(b) Vocational Stream (Including Independent H.S. School)</t>
  </si>
  <si>
    <t>(b) Vocational Stream (Including independent H.S.School)</t>
  </si>
  <si>
    <t>Sub-Division / 
C.D.Block  / M / M.C.</t>
  </si>
  <si>
    <t>Betel Leaves (Mitha)</t>
  </si>
  <si>
    <t>Other manufacturing</t>
  </si>
  <si>
    <t>Wholesale and retail trade and repair of motor vehicles and motorcycles</t>
  </si>
  <si>
    <t>Warehousing and support activities for transportation</t>
  </si>
  <si>
    <t>Motion Picture, Video and television programme production, sound recording and music publishing activities</t>
  </si>
  <si>
    <t>Other professional, scientific and technical activities</t>
  </si>
  <si>
    <t>Repair of computers and personal and household goods</t>
  </si>
  <si>
    <t>Other personal service activities</t>
  </si>
  <si>
    <t>Progress of Commercial Banking</t>
  </si>
  <si>
    <t>No. of Vehicles
(Launch)</t>
  </si>
  <si>
    <t>Consumption of Electricity</t>
  </si>
  <si>
    <t>District Total-5</t>
  </si>
  <si>
    <t>No. of female per 100 males</t>
  </si>
  <si>
    <r>
      <t>N.B.</t>
    </r>
    <r>
      <rPr>
        <b/>
        <sz val="9"/>
        <color indexed="20"/>
        <rFont val="Arial"/>
        <family val="2"/>
      </rPr>
      <t>:</t>
    </r>
    <r>
      <rPr>
        <sz val="9"/>
        <color indexed="20"/>
        <rFont val="Arial"/>
        <family val="2"/>
      </rPr>
      <t xml:space="preserve"> (i) C.D. Block / M.C./ M / N.A.-wise figures of 
              Census 2011 for area are not available at present</t>
    </r>
  </si>
  <si>
    <t>*  In 1000 bales of 180 kgs each</t>
  </si>
  <si>
    <t>Nitrogen (N)</t>
  </si>
  <si>
    <t>Phosphate (P)</t>
  </si>
  <si>
    <t>Potash (K)</t>
  </si>
  <si>
    <t xml:space="preserve">Tasar </t>
  </si>
  <si>
    <t>(K.M.)</t>
  </si>
  <si>
    <t>Post and Telegraph Offices</t>
  </si>
  <si>
    <t>Police Stations and Out-posts</t>
  </si>
  <si>
    <t>Receipt and Expenditure of Zilla Parishad</t>
  </si>
  <si>
    <t>Population by religion in the Blocks</t>
  </si>
  <si>
    <t>Commercial and Gramin Banks in the Blocks</t>
  </si>
  <si>
    <t xml:space="preserve"> Particulars</t>
  </si>
  <si>
    <t>Administrative set up :</t>
  </si>
  <si>
    <t>District Head Quarters</t>
  </si>
  <si>
    <t>Primary School</t>
  </si>
  <si>
    <t>Middle  School</t>
  </si>
  <si>
    <t>High  School</t>
  </si>
  <si>
    <t>Higher Secondary  School</t>
  </si>
  <si>
    <t>Alipore Sub-Div.</t>
  </si>
  <si>
    <t>Thakurpukur-Maheshtala</t>
  </si>
  <si>
    <t>Joynagar-Majilpur(M)</t>
  </si>
  <si>
    <t>Jaynagar-I</t>
  </si>
  <si>
    <t>Jaynagar-II</t>
  </si>
  <si>
    <t>Bhangar-I</t>
  </si>
  <si>
    <t>Bhangar-II</t>
  </si>
  <si>
    <t>Source : B.A.E.&amp; S., Govt. of W.B.</t>
  </si>
  <si>
    <t>Name of 
Flowers</t>
  </si>
  <si>
    <t>Thousand
 hectares</t>
  </si>
  <si>
    <t>TABLE 5.5</t>
  </si>
  <si>
    <t>TABLE 5.5(a)</t>
  </si>
  <si>
    <t xml:space="preserve">Note : HDTW = </t>
  </si>
  <si>
    <t xml:space="preserve">ODW = </t>
  </si>
  <si>
    <t>TABLE 5.8</t>
  </si>
  <si>
    <t>TABLE 5.7</t>
  </si>
  <si>
    <t>TABLE 6.1</t>
  </si>
  <si>
    <t>TABLE  6.2 (Concld.)</t>
  </si>
  <si>
    <t>Source : Divisional Office, L.I.C.of India, K.M.D.O. - II</t>
  </si>
  <si>
    <t>TABLE 7.2</t>
  </si>
  <si>
    <t>TABLE 7.3</t>
  </si>
  <si>
    <t xml:space="preserve"> Source : </t>
  </si>
  <si>
    <t>TABLE 8.2(a)</t>
  </si>
  <si>
    <t>TABLE 9.1</t>
  </si>
  <si>
    <t>TABLE 10.2</t>
  </si>
  <si>
    <t>TABLE 10.1</t>
  </si>
  <si>
    <t>Registered Working Factories (C) (Daily Average)</t>
  </si>
  <si>
    <t>Manufacture of pharmaceuticals, medicinal chemical and botanical products</t>
  </si>
  <si>
    <t>78*</t>
  </si>
  <si>
    <t>110*</t>
  </si>
  <si>
    <r>
      <t>67</t>
    </r>
    <r>
      <rPr>
        <vertAlign val="superscript"/>
        <sz val="10"/>
        <rFont val="Arial"/>
        <family val="2"/>
      </rPr>
      <t>#</t>
    </r>
  </si>
  <si>
    <r>
      <t>89</t>
    </r>
    <r>
      <rPr>
        <vertAlign val="superscript"/>
        <sz val="10"/>
        <rFont val="Arial"/>
        <family val="2"/>
      </rPr>
      <t>#</t>
    </r>
  </si>
  <si>
    <t>Note:Under the schemes NOAPS (National Old-age Pension Scheme) &amp; NFBS (National Family Benefit Scheme) etc.</t>
  </si>
  <si>
    <t>TABLE 10.3</t>
  </si>
  <si>
    <t xml:space="preserve">Directorate of District Distribution, </t>
  </si>
  <si>
    <t>Procurement and Supply,</t>
  </si>
  <si>
    <t>Eri (Kg.)</t>
  </si>
  <si>
    <t>Til</t>
  </si>
  <si>
    <t>-6546155 *</t>
  </si>
  <si>
    <t>42830</t>
  </si>
  <si>
    <t>31125</t>
  </si>
  <si>
    <t>79</t>
  </si>
  <si>
    <t>DTW = Deep Tubewell = HDTW+MDTW+LDTW</t>
  </si>
  <si>
    <t>No. of 
Employees</t>
  </si>
  <si>
    <t>1) Principal Agriculture Office, South 24-Parganas</t>
  </si>
  <si>
    <t>Consumer Price Index Numbers for Industrial Workers in the 
district of South 24-Parganas</t>
  </si>
  <si>
    <t>TABLE 11.4</t>
  </si>
  <si>
    <t>TABLE 11.3</t>
  </si>
  <si>
    <t>Source : Labour Bureau, Govt. of India</t>
  </si>
  <si>
    <t>Total No.
of Doctors</t>
  </si>
  <si>
    <r>
      <t>Canning Sub-Div</t>
    </r>
    <r>
      <rPr>
        <sz val="10"/>
        <color indexed="17"/>
        <rFont val="Arial"/>
        <family val="2"/>
      </rPr>
      <t>.</t>
    </r>
  </si>
  <si>
    <r>
      <t>D.Harbour Sub-Di</t>
    </r>
    <r>
      <rPr>
        <sz val="10"/>
        <color indexed="17"/>
        <rFont val="Arial"/>
        <family val="2"/>
      </rPr>
      <t>v.</t>
    </r>
  </si>
  <si>
    <t>Source : All Municipalities, South 24-Parganas</t>
  </si>
  <si>
    <t>TABLE 12.4</t>
  </si>
  <si>
    <t>TABLE 12.3</t>
  </si>
  <si>
    <t>TABLE 12.7</t>
  </si>
  <si>
    <t xml:space="preserve">TABLE 12.6 </t>
  </si>
  <si>
    <t>TABLE 12.5</t>
  </si>
  <si>
    <t>Source : Superintendent of Police, South 24-Parganas</t>
  </si>
  <si>
    <t>TABLE 13.1</t>
  </si>
  <si>
    <t xml:space="preserve"> Sergeant / Armed S.I.</t>
  </si>
  <si>
    <t xml:space="preserve"> Source : District Magistrate, South 24-Parganas</t>
  </si>
  <si>
    <t>TABLE 15.1</t>
  </si>
  <si>
    <t>TABLE 15.2</t>
  </si>
  <si>
    <t>TABLE 16.1</t>
  </si>
  <si>
    <t>TABLE 17.1</t>
  </si>
  <si>
    <t>TABLE 17.1(Concld.)</t>
  </si>
  <si>
    <t>TABLE 17.2</t>
  </si>
  <si>
    <t>TABLE 18.1 (Concld.)</t>
  </si>
  <si>
    <t>TABLE 18.2</t>
  </si>
  <si>
    <t>= Shallow Tubewell</t>
  </si>
  <si>
    <t>= River Lift Irrigation</t>
  </si>
  <si>
    <t>HDTW = High Capacity Deep Tubewell</t>
  </si>
  <si>
    <t>MDTW = Middle Capacity Deep Tubewell</t>
  </si>
  <si>
    <t>LDTW  = Low Capacity Deep Tubewell</t>
  </si>
  <si>
    <t>TABLE 18.3</t>
  </si>
  <si>
    <t>TABLE 20.1</t>
  </si>
  <si>
    <t xml:space="preserve"> TABLE 20.2</t>
  </si>
  <si>
    <t>TABLE 21.1</t>
  </si>
  <si>
    <t>TABLE 21.2</t>
  </si>
  <si>
    <t>Jaynagar-Majilpur(M)</t>
  </si>
  <si>
    <t>Mandirbazar</t>
  </si>
  <si>
    <t>Diamond Harbour (M)</t>
  </si>
  <si>
    <t>Number</t>
  </si>
  <si>
    <t>Inhabited Villages</t>
  </si>
  <si>
    <t>Municipal Corporation</t>
  </si>
  <si>
    <t>Municipality</t>
  </si>
  <si>
    <t>Gram Panchayat</t>
  </si>
  <si>
    <t>Gram Sansad</t>
  </si>
  <si>
    <t>Area and Population :</t>
  </si>
  <si>
    <t xml:space="preserve">Area </t>
  </si>
  <si>
    <t>Population</t>
  </si>
  <si>
    <t>P.C to 
total 
Popu-
lation 
of the Block</t>
  </si>
  <si>
    <t>Thakurpukur-
Maheshtala</t>
  </si>
  <si>
    <t>"</t>
  </si>
  <si>
    <t xml:space="preserve">                    Female</t>
  </si>
  <si>
    <t xml:space="preserve">                    Rural</t>
  </si>
  <si>
    <t xml:space="preserve">                    Urban</t>
  </si>
  <si>
    <t>m.m.</t>
  </si>
  <si>
    <t>Temperature : Maximum</t>
  </si>
  <si>
    <t>Degree Celsius</t>
  </si>
  <si>
    <t>..</t>
  </si>
  <si>
    <t>Workers :</t>
  </si>
  <si>
    <t>Total workers</t>
  </si>
  <si>
    <t>Non-workers</t>
  </si>
  <si>
    <t>Agriculture and Irrigation:</t>
  </si>
  <si>
    <t>Cropped area</t>
  </si>
  <si>
    <t>Diamond Harbour(M)</t>
  </si>
  <si>
    <t>2) Super / Director of the respective (L.S.G./Private) Hospitals</t>
  </si>
  <si>
    <t>(b)Junior Madrasahs</t>
  </si>
  <si>
    <t>(a)D.I.(Secondary)</t>
  </si>
  <si>
    <t>Medical facilities :</t>
  </si>
  <si>
    <t>Total beds</t>
  </si>
  <si>
    <t>9) Each Tol</t>
  </si>
  <si>
    <t>Qtl.</t>
  </si>
  <si>
    <t>D-Harbour</t>
  </si>
  <si>
    <t>Parched rice (Muri)</t>
  </si>
  <si>
    <t>Bhangar</t>
  </si>
  <si>
    <t>Paddy(Common)</t>
  </si>
  <si>
    <t>Rice (Common )</t>
  </si>
  <si>
    <t>Flattened rice (Chira)</t>
  </si>
  <si>
    <r>
      <t xml:space="preserve">                  -</t>
    </r>
    <r>
      <rPr>
        <sz val="10"/>
        <color indexed="19"/>
        <rFont val="Arial"/>
        <family val="2"/>
      </rPr>
      <t xml:space="preserve"> </t>
    </r>
    <r>
      <rPr>
        <sz val="10"/>
        <color indexed="10"/>
        <rFont val="Arial"/>
        <family val="2"/>
      </rPr>
      <t xml:space="preserve">       =</t>
    </r>
  </si>
  <si>
    <r>
      <t xml:space="preserve">                 ..</t>
    </r>
    <r>
      <rPr>
        <sz val="10"/>
        <color indexed="19"/>
        <rFont val="Arial"/>
        <family val="2"/>
      </rPr>
      <t xml:space="preserve">       </t>
    </r>
    <r>
      <rPr>
        <sz val="10"/>
        <color indexed="10"/>
        <rFont val="Arial"/>
        <family val="2"/>
      </rPr>
      <t xml:space="preserve"> =</t>
    </r>
  </si>
  <si>
    <r>
      <t xml:space="preserve">                 P        </t>
    </r>
    <r>
      <rPr>
        <sz val="10"/>
        <color indexed="10"/>
        <rFont val="Arial"/>
        <family val="2"/>
      </rPr>
      <t>=</t>
    </r>
  </si>
  <si>
    <r>
      <t xml:space="preserve">                 R       </t>
    </r>
    <r>
      <rPr>
        <sz val="10"/>
        <color indexed="10"/>
        <rFont val="Arial"/>
        <family val="2"/>
      </rPr>
      <t xml:space="preserve"> =</t>
    </r>
  </si>
  <si>
    <r>
      <t xml:space="preserve">                 I         </t>
    </r>
    <r>
      <rPr>
        <sz val="10"/>
        <color indexed="10"/>
        <rFont val="Arial"/>
        <family val="2"/>
      </rPr>
      <t xml:space="preserve"> =</t>
    </r>
  </si>
  <si>
    <r>
      <t xml:space="preserve">                 C        </t>
    </r>
    <r>
      <rPr>
        <sz val="10"/>
        <color indexed="10"/>
        <rFont val="Arial"/>
        <family val="2"/>
      </rPr>
      <t>=</t>
    </r>
  </si>
  <si>
    <r>
      <t xml:space="preserve">                 E       </t>
    </r>
    <r>
      <rPr>
        <sz val="10"/>
        <color indexed="10"/>
        <rFont val="Arial"/>
        <family val="2"/>
      </rPr>
      <t xml:space="preserve"> =</t>
    </r>
  </si>
  <si>
    <r>
      <t xml:space="preserve">                 P.C.   </t>
    </r>
    <r>
      <rPr>
        <sz val="10"/>
        <color indexed="10"/>
        <rFont val="Arial"/>
        <family val="2"/>
      </rPr>
      <t xml:space="preserve"> =</t>
    </r>
  </si>
  <si>
    <r>
      <t xml:space="preserve">                 M.C.    </t>
    </r>
    <r>
      <rPr>
        <sz val="10"/>
        <color indexed="10"/>
        <rFont val="Arial"/>
        <family val="2"/>
      </rPr>
      <t>=</t>
    </r>
  </si>
  <si>
    <r>
      <t xml:space="preserve">                 M        </t>
    </r>
    <r>
      <rPr>
        <sz val="10"/>
        <color indexed="10"/>
        <rFont val="Arial"/>
        <family val="2"/>
      </rPr>
      <t>=</t>
    </r>
  </si>
  <si>
    <r>
      <t xml:space="preserve">                 O.G.    </t>
    </r>
    <r>
      <rPr>
        <sz val="10"/>
        <color indexed="10"/>
        <rFont val="Arial"/>
        <family val="2"/>
      </rPr>
      <t>=</t>
    </r>
  </si>
  <si>
    <r>
      <t xml:space="preserve">                 C.T.    </t>
    </r>
    <r>
      <rPr>
        <sz val="10"/>
        <color indexed="10"/>
        <rFont val="Arial"/>
        <family val="2"/>
      </rPr>
      <t xml:space="preserve"> =</t>
    </r>
  </si>
  <si>
    <r>
      <t xml:space="preserve">                 N.A.     </t>
    </r>
    <r>
      <rPr>
        <sz val="10"/>
        <color indexed="10"/>
        <rFont val="Arial"/>
        <family val="2"/>
      </rPr>
      <t>=</t>
    </r>
  </si>
  <si>
    <t>Thakurpukur- Maheshtala</t>
  </si>
  <si>
    <t>100 Nos.</t>
  </si>
  <si>
    <t>Korka</t>
  </si>
  <si>
    <t>Egg (Hen)</t>
  </si>
  <si>
    <t>Egg (Duck)</t>
  </si>
  <si>
    <t>Kg.</t>
  </si>
  <si>
    <t>Cow ( Milk )</t>
  </si>
  <si>
    <t>Jute T.D-5</t>
  </si>
  <si>
    <t>Onion ( Deshi )</t>
  </si>
  <si>
    <t>Gur</t>
  </si>
  <si>
    <r>
      <t xml:space="preserve">Amount disbursed </t>
    </r>
    <r>
      <rPr>
        <sz val="10"/>
        <color indexed="21"/>
        <rFont val="Arial Narrow"/>
        <family val="2"/>
      </rPr>
      <t>(in thousand rupees)</t>
    </r>
  </si>
  <si>
    <t>Rohu</t>
  </si>
  <si>
    <t>Katla</t>
  </si>
  <si>
    <t>Vetki</t>
  </si>
  <si>
    <t>General College</t>
  </si>
  <si>
    <t>Industry:</t>
  </si>
  <si>
    <t>Employment in:</t>
  </si>
  <si>
    <t>Electricity :</t>
  </si>
  <si>
    <t>Co-operative Societies :</t>
  </si>
  <si>
    <t>Societies</t>
  </si>
  <si>
    <t>Members</t>
  </si>
  <si>
    <t>Working Capital</t>
  </si>
  <si>
    <t>Commercial Bank</t>
  </si>
  <si>
    <t>Transport &amp; Communication:</t>
  </si>
  <si>
    <t>Post Offices</t>
  </si>
  <si>
    <t>Surfaced</t>
  </si>
  <si>
    <t>Un-surfaced</t>
  </si>
  <si>
    <t>*  Included in "Others"</t>
  </si>
  <si>
    <t>*   In bales / hectare</t>
  </si>
  <si>
    <t>Finance :</t>
  </si>
  <si>
    <t>Name of the district</t>
  </si>
  <si>
    <t>Latitude</t>
  </si>
  <si>
    <t>Longitude</t>
  </si>
  <si>
    <t xml:space="preserve"> North</t>
  </si>
  <si>
    <t>South</t>
  </si>
  <si>
    <t xml:space="preserve"> East  </t>
  </si>
  <si>
    <t>As on</t>
  </si>
  <si>
    <t>West</t>
  </si>
  <si>
    <t>(1)</t>
  </si>
  <si>
    <t>(2)</t>
  </si>
  <si>
    <t>(3)</t>
  </si>
  <si>
    <t>(4)</t>
  </si>
  <si>
    <t>(5)</t>
  </si>
  <si>
    <t>(6)</t>
  </si>
  <si>
    <t>(7)</t>
  </si>
  <si>
    <t>Month</t>
  </si>
  <si>
    <t>Normal</t>
  </si>
  <si>
    <t>Actual</t>
  </si>
  <si>
    <t>January</t>
  </si>
  <si>
    <t>February</t>
  </si>
  <si>
    <t>March</t>
  </si>
  <si>
    <t>Max</t>
  </si>
  <si>
    <t>Min</t>
  </si>
  <si>
    <t>Visual</t>
  </si>
  <si>
    <t>Speech</t>
  </si>
  <si>
    <t>Hearing</t>
  </si>
  <si>
    <t>Locomotor</t>
  </si>
  <si>
    <t>Commercial &amp; Gramin (No.in' 000)*</t>
  </si>
  <si>
    <t>* As per Census 2011 Population</t>
  </si>
  <si>
    <t>April</t>
  </si>
  <si>
    <t>May</t>
  </si>
  <si>
    <t>June</t>
  </si>
  <si>
    <t>July</t>
  </si>
  <si>
    <t>August</t>
  </si>
  <si>
    <t>September</t>
  </si>
  <si>
    <t>October</t>
  </si>
  <si>
    <t>November</t>
  </si>
  <si>
    <t>December</t>
  </si>
  <si>
    <t>Total</t>
  </si>
  <si>
    <t>(8)</t>
  </si>
  <si>
    <t>(9)</t>
  </si>
  <si>
    <t>(10)</t>
  </si>
  <si>
    <t>(11)</t>
  </si>
  <si>
    <t xml:space="preserve">     (Degree Celsius)</t>
  </si>
  <si>
    <t>Mean</t>
  </si>
  <si>
    <t>For the year</t>
  </si>
  <si>
    <t>Middle School</t>
  </si>
  <si>
    <t>High School</t>
  </si>
  <si>
    <t>Higher Secondary School</t>
  </si>
  <si>
    <t>45926</t>
  </si>
  <si>
    <t>52857</t>
  </si>
  <si>
    <t>86</t>
  </si>
  <si>
    <t>Sub-Division</t>
  </si>
  <si>
    <t>Panchayat</t>
  </si>
  <si>
    <t>Samity</t>
  </si>
  <si>
    <t>Gram</t>
  </si>
  <si>
    <t>(2001)</t>
  </si>
  <si>
    <t>(Number)</t>
  </si>
  <si>
    <t>Town</t>
  </si>
  <si>
    <t>No.</t>
  </si>
  <si>
    <t>Ward</t>
  </si>
  <si>
    <t>Benjanhari Acharial</t>
  </si>
  <si>
    <t>Distribution of Rural &amp; Urban Population by sex, 2011</t>
  </si>
  <si>
    <t>Distribution of Population by sex &amp; by age group, 2011</t>
  </si>
  <si>
    <r>
      <t>#</t>
    </r>
    <r>
      <rPr>
        <sz val="9"/>
        <color indexed="20"/>
        <rFont val="Arial"/>
        <family val="2"/>
      </rPr>
      <t xml:space="preserve"> As per 2001 Census Population</t>
    </r>
  </si>
  <si>
    <t>No. of 
policies</t>
  </si>
  <si>
    <t>Notified Area</t>
  </si>
  <si>
    <t>Census Town</t>
  </si>
  <si>
    <t>Outgrowth</t>
  </si>
  <si>
    <t>Constituency</t>
  </si>
  <si>
    <t>Assembly</t>
  </si>
  <si>
    <t>Parliamentary</t>
  </si>
  <si>
    <t>(Millimetre)</t>
  </si>
  <si>
    <t>Minor Offences</t>
  </si>
  <si>
    <t xml:space="preserve">Name of Municipality </t>
  </si>
  <si>
    <t>21-12-1993</t>
  </si>
  <si>
    <t>01-08-1876</t>
  </si>
  <si>
    <t>01-04-1869</t>
  </si>
  <si>
    <t>16-08-1982</t>
  </si>
  <si>
    <t>01-04-1900</t>
  </si>
  <si>
    <t>11-09-1998</t>
  </si>
  <si>
    <t>Source : Census of India, 1991 &amp; 2001</t>
  </si>
  <si>
    <t>Index with 1901 as base</t>
  </si>
  <si>
    <t>Male</t>
  </si>
  <si>
    <t>Female</t>
  </si>
  <si>
    <t>Urban</t>
  </si>
  <si>
    <t>Rural</t>
  </si>
  <si>
    <t>Pradhan Mantri
 Gram Sadak Yojana</t>
  </si>
  <si>
    <t>2) R.T.A., South 24-Parganas</t>
  </si>
  <si>
    <t>2) West Bengal Tourism Development Corp. Ltd.</t>
  </si>
  <si>
    <t>Offences reported</t>
  </si>
  <si>
    <t>Cases trried</t>
  </si>
  <si>
    <t>Persons convicted</t>
  </si>
  <si>
    <t>Persons acquitted</t>
  </si>
  <si>
    <t xml:space="preserve"> Addl. Superintendent</t>
  </si>
  <si>
    <t xml:space="preserve"> Dy. Superintendent</t>
  </si>
  <si>
    <t>(Thousand rupees)</t>
  </si>
  <si>
    <t>( Thousand rupees)</t>
  </si>
  <si>
    <t>Population, Receipt &amp; Expenditure of Municipalities  in the district of South 24-Parganas</t>
  </si>
  <si>
    <t>No. of mouzas
 having drinking 
water facilities</t>
  </si>
  <si>
    <t>Population by religion in the Blocks of South 24-Parganas</t>
  </si>
  <si>
    <t>Prod. = Production</t>
  </si>
  <si>
    <t>Note : Area in hectare, Production in Thousand MT and Yield rate in kg./ hect.</t>
  </si>
  <si>
    <t>1) B.A.E.&amp; S., Govt. of W.B.</t>
  </si>
  <si>
    <t>3) Asstt. Engr.(Agri.Mech.), South 24-Parganas</t>
  </si>
  <si>
    <t>2) Div. Engr./ Asstt. Engr.(Irri.), South 24-Parganas</t>
  </si>
  <si>
    <t>Pradhan Mantri
Gram Sadak Yojana</t>
  </si>
  <si>
    <t>3) Gram Panchayat &amp; Panchayat Samity, South 24-Parganas</t>
  </si>
  <si>
    <t>1) Deputy Director of Tourism, Govt. of  W.B.</t>
  </si>
  <si>
    <t>* Including figures of the Municipalities 
but individual breakup is not available</t>
  </si>
  <si>
    <t>1) B.D.O.s, South 24-Parganas</t>
  </si>
  <si>
    <t>2) A.D.O.s, South 24-Parganas</t>
  </si>
  <si>
    <t>Assistant Director of Fisheries, South 24-Parganas</t>
  </si>
  <si>
    <t>Beds per lakh of Population (Census 2011)</t>
  </si>
  <si>
    <t>Number of Live-stock and Poultry in the Blocks</t>
  </si>
  <si>
    <t>Age group (Years)</t>
  </si>
  <si>
    <t>P.C.</t>
  </si>
  <si>
    <t>(12)</t>
  </si>
  <si>
    <t>(13)</t>
  </si>
  <si>
    <t>(14)</t>
  </si>
  <si>
    <t>(15)</t>
  </si>
  <si>
    <t>(16)</t>
  </si>
  <si>
    <t>(17)</t>
  </si>
  <si>
    <t>(19)</t>
  </si>
  <si>
    <t>(18)</t>
  </si>
  <si>
    <t>0-4</t>
  </si>
  <si>
    <t>5-9</t>
  </si>
  <si>
    <t>10-14</t>
  </si>
  <si>
    <t>15-19</t>
  </si>
  <si>
    <t>20-24</t>
  </si>
  <si>
    <t>25-29</t>
  </si>
  <si>
    <t>30-34</t>
  </si>
  <si>
    <t>35-39</t>
  </si>
  <si>
    <t>40-44</t>
  </si>
  <si>
    <t>45-49</t>
  </si>
  <si>
    <t>50-54</t>
  </si>
  <si>
    <t>55-59</t>
  </si>
  <si>
    <t>60-64</t>
  </si>
  <si>
    <t>65-69</t>
  </si>
  <si>
    <t>Age not stated</t>
  </si>
  <si>
    <t>All Ages</t>
  </si>
  <si>
    <t>70-74</t>
  </si>
  <si>
    <t>75-79</t>
  </si>
  <si>
    <t>80+</t>
  </si>
  <si>
    <t>Population served per Bank office,</t>
  </si>
  <si>
    <t xml:space="preserve">Male </t>
  </si>
  <si>
    <t xml:space="preserve">Number </t>
  </si>
  <si>
    <t>PC to TW</t>
  </si>
  <si>
    <t>Cultivators</t>
  </si>
  <si>
    <t>Class of Total Workers</t>
  </si>
  <si>
    <t>Agricultural Labourers</t>
  </si>
  <si>
    <t>Other Workers</t>
  </si>
  <si>
    <t>Household Ind. Workers</t>
  </si>
  <si>
    <t>Main workers</t>
  </si>
  <si>
    <t>Marginal workers</t>
  </si>
  <si>
    <t>Total Population</t>
  </si>
  <si>
    <t>Category</t>
  </si>
  <si>
    <t>A</t>
  </si>
  <si>
    <t>Total Workers :</t>
  </si>
  <si>
    <t>(a)</t>
  </si>
  <si>
    <t>Main workers :</t>
  </si>
  <si>
    <t xml:space="preserve">Total </t>
  </si>
  <si>
    <t>(b)</t>
  </si>
  <si>
    <t>Marginal workers :</t>
  </si>
  <si>
    <t>B</t>
  </si>
  <si>
    <t>Non-workers :</t>
  </si>
  <si>
    <t>A.</t>
  </si>
  <si>
    <t>Cultivators :</t>
  </si>
  <si>
    <t>Agricultural Labourers :</t>
  </si>
  <si>
    <t>Household Industry Workers :</t>
  </si>
  <si>
    <t>Other Workers :</t>
  </si>
  <si>
    <t>Total Workers : (1+2+3+4) = (a+b)</t>
  </si>
  <si>
    <t xml:space="preserve">      Total</t>
  </si>
  <si>
    <t xml:space="preserve">      Rural</t>
  </si>
  <si>
    <t xml:space="preserve">      Urban</t>
  </si>
  <si>
    <t>' 000 KWH</t>
  </si>
  <si>
    <t>Km.</t>
  </si>
  <si>
    <t>1) Dist. Panchayat Officer, South 24-Parganas</t>
  </si>
  <si>
    <t>2) Dist. Planning Officer, South 24-Parganas</t>
  </si>
  <si>
    <t xml:space="preserve">Source : Collectorate (Election Deptt.), South 24-Pgs. </t>
  </si>
  <si>
    <t>TABLE 2.10(a) (Concld.)</t>
  </si>
  <si>
    <t>(a) Medical (Allopathic, Dental, Homeopathic, Ayurvedic)Colleges</t>
  </si>
  <si>
    <t>TABLE 4.4 (Concld.)</t>
  </si>
  <si>
    <t>TABLE 4.4 (Contd.)</t>
  </si>
  <si>
    <t xml:space="preserve"> TABLE 4.4 (Contd.) </t>
  </si>
  <si>
    <t>Divisional Forest Officer, South 24-Parganas</t>
  </si>
  <si>
    <t>Conservator of Forests &amp; Field Director, 
Sundarban Tiger Reserve, South 24-Parganas</t>
  </si>
  <si>
    <t>Dy. Director, Animal Resources and 
Development Parishad Office, South 24-Parganas</t>
  </si>
  <si>
    <t>1) Transport Deptt., Govt.of  W.B.</t>
  </si>
  <si>
    <t>Total Earning 
(' 000 Rs.)</t>
  </si>
  <si>
    <t>Source : Lead Bank Office, Baruipur, South 24-Parganas</t>
  </si>
  <si>
    <t>Others</t>
  </si>
  <si>
    <t>No. of Deaths</t>
  </si>
  <si>
    <t>Date of Establish-ment</t>
  </si>
  <si>
    <t>Religion not stated</t>
  </si>
  <si>
    <t>Source : Census of India, 2001</t>
  </si>
  <si>
    <t>5 / 3</t>
  </si>
  <si>
    <t>7 / 3</t>
  </si>
  <si>
    <t>4 / 0</t>
  </si>
  <si>
    <t>9 / 1</t>
  </si>
  <si>
    <t>29 / 7</t>
  </si>
  <si>
    <t>Disability</t>
  </si>
  <si>
    <r>
      <t>#</t>
    </r>
    <r>
      <rPr>
        <sz val="9"/>
        <rFont val="Arial"/>
        <family val="2"/>
      </rPr>
      <t xml:space="preserve"> Blockwise breakup figures of beds &amp; numbers of NGO / Nursing Home are not available</t>
    </r>
  </si>
  <si>
    <t>Manufacture of motor vehicles, trailers and semi-trailers</t>
  </si>
  <si>
    <t xml:space="preserve">Sources : </t>
  </si>
  <si>
    <t>Receipt</t>
  </si>
  <si>
    <t>Year 
( as on 31st March)</t>
  </si>
  <si>
    <t>Public</t>
  </si>
  <si>
    <t>Private</t>
  </si>
  <si>
    <t>Vasectomy</t>
  </si>
  <si>
    <t>Tubectomy</t>
  </si>
  <si>
    <t>I.U.D.</t>
  </si>
  <si>
    <t>Cases treated</t>
  </si>
  <si>
    <t>TT(PW)</t>
  </si>
  <si>
    <t>DPT</t>
  </si>
  <si>
    <t>Polio</t>
  </si>
  <si>
    <t>BCG</t>
  </si>
  <si>
    <t>Banking :</t>
  </si>
  <si>
    <t>Measles</t>
  </si>
  <si>
    <t>Indoor</t>
  </si>
  <si>
    <t>Outdoor</t>
  </si>
  <si>
    <t>(a) D.I.(Primary+Junior Basic)</t>
  </si>
  <si>
    <t>(b) Municipalities / Corporations / Local bodies etc.</t>
  </si>
  <si>
    <t>Fallow land
 other than
 current fallow</t>
  </si>
  <si>
    <t>(c) I.C.S.E./ C.B.S.E./Anglo-Indian &amp; Missionaries etc.</t>
  </si>
  <si>
    <t>(ii)</t>
  </si>
  <si>
    <t>(iii)</t>
  </si>
  <si>
    <t>(i)</t>
  </si>
  <si>
    <t>(iv)</t>
  </si>
  <si>
    <t>5) Each Madrasah</t>
  </si>
  <si>
    <t>(e) Senior Madrasahs</t>
  </si>
  <si>
    <t>No. of fertilizer depots</t>
  </si>
  <si>
    <t>No. of seed stores</t>
  </si>
  <si>
    <t>No. of fair price shops</t>
  </si>
  <si>
    <t>No. of gram panchayat
 offices with 
telephone facilities</t>
  </si>
  <si>
    <t>Engineering / Technical Schools</t>
  </si>
  <si>
    <t>All Establishments</t>
  </si>
  <si>
    <t>(a) Junior Technical Schools</t>
  </si>
  <si>
    <t>(b) Junior Govt Polytechnics</t>
  </si>
  <si>
    <t>(c) Industrial Training Institutes (ITI)</t>
  </si>
  <si>
    <t>All PTTI &amp; Nursing Training Institutes</t>
  </si>
  <si>
    <t>(a) Pre-primary &amp; Primary Teachers' Training Institutes (PTTI)</t>
  </si>
  <si>
    <t>(b) Certificate oriented Nursing Training Schools</t>
  </si>
  <si>
    <t>Engineering / Medical / Technical Colleges</t>
  </si>
  <si>
    <t>(b) Engineering Colleges (Govt.+Private)</t>
  </si>
  <si>
    <t>(c) Management Colleges (Govt.+Private)</t>
  </si>
  <si>
    <t>(d) Polytechnics (Govt.+Private)</t>
  </si>
  <si>
    <t>(e) Institute of Pharmacy / Opthalmology</t>
  </si>
  <si>
    <t>Teachers' Training &amp; Nursing Training Colleges</t>
  </si>
  <si>
    <t>(a) Teachers' Training (B.Ed.+Phy.Ed.) Colleges</t>
  </si>
  <si>
    <t>(b) Nursing Training Colleges (B.Sc.)</t>
  </si>
  <si>
    <t>(a) Law Colleges</t>
  </si>
  <si>
    <t>(b) Music Colleges</t>
  </si>
  <si>
    <t>(d) Art Colleges</t>
  </si>
  <si>
    <t>(e) Autonomous Research Institutions of Special Importance</t>
  </si>
  <si>
    <t>(c) Nutrition &amp; Home Science Colleges</t>
  </si>
  <si>
    <t>Sishu Siksha Kendras</t>
  </si>
  <si>
    <t>Adult High Schools</t>
  </si>
  <si>
    <t>Note : TT(PW) = Tetanus Toxoid</t>
  </si>
  <si>
    <t>Sanskrit Tols</t>
  </si>
  <si>
    <t>Source : Census of India</t>
  </si>
  <si>
    <t>Ekalabya Schools</t>
  </si>
  <si>
    <t>Non-formal Education Centres</t>
  </si>
  <si>
    <t>1) District Panchayat Officer</t>
  </si>
  <si>
    <t>2) District Social Welfare Officer</t>
  </si>
  <si>
    <t>4) District Programme Officer (ICDS)</t>
  </si>
  <si>
    <t>Source : Census of India, 2011</t>
  </si>
  <si>
    <t>5) District Education Officer</t>
  </si>
  <si>
    <t>6) District Social Education Officer</t>
  </si>
  <si>
    <t>8) Education cell under Zilla Parishad</t>
  </si>
  <si>
    <t>.</t>
  </si>
  <si>
    <t>Budge-Budge(Part)</t>
  </si>
  <si>
    <t>Baruipur Sub-Div.</t>
  </si>
  <si>
    <t>Name of district headquarters</t>
  </si>
  <si>
    <t>Kultali</t>
  </si>
  <si>
    <t>Canning Sub-Div.</t>
  </si>
  <si>
    <t>Canning</t>
  </si>
  <si>
    <t>Basanti</t>
  </si>
  <si>
    <t>Gosaba</t>
  </si>
  <si>
    <t>D.Harbour Sub-Div.</t>
  </si>
  <si>
    <t>Mograhat</t>
  </si>
  <si>
    <t>Mondirbazar</t>
  </si>
  <si>
    <t xml:space="preserve">Year </t>
  </si>
  <si>
    <t>Kulpi</t>
  </si>
  <si>
    <t>Falta</t>
  </si>
  <si>
    <t>Kakdwip</t>
  </si>
  <si>
    <t>Namkhana</t>
  </si>
  <si>
    <t>Sagar</t>
  </si>
  <si>
    <t>Patharpratima</t>
  </si>
  <si>
    <t>C.D.Block/M.</t>
  </si>
  <si>
    <t>Maheshtala</t>
  </si>
  <si>
    <t>Bishnupur-II</t>
  </si>
  <si>
    <t>Budge-Budge-I</t>
  </si>
  <si>
    <t>Budge-Budge-II</t>
  </si>
  <si>
    <t>Bishnupur-I</t>
  </si>
  <si>
    <t>Budge-Budge(M)</t>
  </si>
  <si>
    <t>Maheshtala(M)</t>
  </si>
  <si>
    <t>Pujali(M)</t>
  </si>
  <si>
    <t>Sonarpur</t>
  </si>
  <si>
    <t>Joynagar-II</t>
  </si>
  <si>
    <t>Joynagar-I</t>
  </si>
  <si>
    <t>Baruipur</t>
  </si>
  <si>
    <t>Baruipur(M)</t>
  </si>
  <si>
    <t>Canning-I</t>
  </si>
  <si>
    <t>Canning-II</t>
  </si>
  <si>
    <t>Mograhat-I</t>
  </si>
  <si>
    <t>Mograhat-II</t>
  </si>
  <si>
    <t>Mathurapur-I</t>
  </si>
  <si>
    <t>Mathurapur-II</t>
  </si>
  <si>
    <t>-</t>
  </si>
  <si>
    <t>Net area available for pisciculture
(hect.)</t>
  </si>
  <si>
    <t>Net area  under effective pisciculture
(hect.)</t>
  </si>
  <si>
    <t xml:space="preserve">         (ii) Sundarban area is included in Total area</t>
  </si>
  <si>
    <t>No. of Co-operative 
Societies</t>
  </si>
  <si>
    <t>1.1</t>
  </si>
  <si>
    <t>1.2</t>
  </si>
  <si>
    <t>1.3</t>
  </si>
  <si>
    <t>1.4</t>
  </si>
  <si>
    <t>2.1</t>
  </si>
  <si>
    <t>2.1(a)</t>
  </si>
  <si>
    <t>2.1(b)</t>
  </si>
  <si>
    <t>2.2</t>
  </si>
  <si>
    <t>2.3</t>
  </si>
  <si>
    <t>2.4(a)</t>
  </si>
  <si>
    <t>2.4(b)</t>
  </si>
  <si>
    <t>2.5(a)</t>
  </si>
  <si>
    <t>2.5(b)</t>
  </si>
  <si>
    <t>2.6</t>
  </si>
  <si>
    <t>2.7</t>
  </si>
  <si>
    <t>2.8</t>
  </si>
  <si>
    <t>2.9</t>
  </si>
  <si>
    <t>2.10</t>
  </si>
  <si>
    <t>2.10(a)</t>
  </si>
  <si>
    <t>2.11</t>
  </si>
  <si>
    <t>3.1</t>
  </si>
  <si>
    <t>3.2</t>
  </si>
  <si>
    <t>3.2(a)</t>
  </si>
  <si>
    <t>3.3</t>
  </si>
  <si>
    <t>3.3(a)</t>
  </si>
  <si>
    <t>4.1(a)</t>
  </si>
  <si>
    <t>4.1(b)</t>
  </si>
  <si>
    <t>4.1(c)</t>
  </si>
  <si>
    <t>4.2(a)</t>
  </si>
  <si>
    <t>4.2(b)</t>
  </si>
  <si>
    <t>4.2(c)</t>
  </si>
  <si>
    <t>4.3(a)</t>
  </si>
  <si>
    <t>4.3(b)</t>
  </si>
  <si>
    <t>4.3(c)</t>
  </si>
  <si>
    <t>4.4</t>
  </si>
  <si>
    <t>4.5</t>
  </si>
  <si>
    <t>4.6</t>
  </si>
  <si>
    <t>4.7</t>
  </si>
  <si>
    <t>4.8</t>
  </si>
  <si>
    <t>5.1(a)</t>
  </si>
  <si>
    <t>5.1(b)</t>
  </si>
  <si>
    <t>5.3(a)</t>
  </si>
  <si>
    <t>5.3(b)</t>
  </si>
  <si>
    <t>5.3(c)</t>
  </si>
  <si>
    <t>5.3(d)</t>
  </si>
  <si>
    <t>5.3(e)</t>
  </si>
  <si>
    <t>5.5(a)</t>
  </si>
  <si>
    <t>8.2(a)</t>
  </si>
  <si>
    <t>9.2(a)</t>
  </si>
  <si>
    <t>9.2(b)</t>
  </si>
  <si>
    <t>11.1(a)</t>
  </si>
  <si>
    <t>Special &amp; Non-formal Education</t>
  </si>
  <si>
    <t>(20)</t>
  </si>
  <si>
    <t xml:space="preserve">                                                                                                                        </t>
  </si>
  <si>
    <t>(21)</t>
  </si>
  <si>
    <t>(22)</t>
  </si>
  <si>
    <t>Free Reading Room</t>
  </si>
  <si>
    <t>Public Library</t>
  </si>
  <si>
    <t>Sl.No.</t>
  </si>
  <si>
    <t>Description</t>
  </si>
  <si>
    <t>Daily</t>
  </si>
  <si>
    <t>Weekly</t>
  </si>
  <si>
    <t>Fortnightly</t>
  </si>
  <si>
    <t>Monthly</t>
  </si>
  <si>
    <t>Bengali</t>
  </si>
  <si>
    <t>English</t>
  </si>
  <si>
    <t>Hindi</t>
  </si>
  <si>
    <t>2011-12</t>
  </si>
  <si>
    <t>(d) Industrial Training Centres ( ITC)</t>
  </si>
  <si>
    <t>SAHC
+ DVH</t>
  </si>
  <si>
    <t>Urdu</t>
  </si>
  <si>
    <t>Reporting Area</t>
  </si>
  <si>
    <t>Area under Non-agricultural use</t>
  </si>
  <si>
    <t>No. of Family Welfare Centres</t>
  </si>
  <si>
    <t>Name
 of Block</t>
  </si>
  <si>
    <r>
      <t xml:space="preserve">Notes : </t>
    </r>
    <r>
      <rPr>
        <sz val="9"/>
        <color indexed="14"/>
        <rFont val="Arial"/>
        <family val="2"/>
      </rPr>
      <t>1) Marginal farmer possesses agricultural land measuring upto 1 hectare</t>
    </r>
  </si>
  <si>
    <t>** Excluding figures of doctors of NGO / Nursing Home</t>
  </si>
  <si>
    <t>Baruipur(M) *</t>
  </si>
  <si>
    <t>* Including figures of Baruipur Block</t>
  </si>
  <si>
    <t xml:space="preserve">              2) Small farmer possesses agricultural land measuring more than 
                  1 hectare and upto 2 hectares</t>
  </si>
  <si>
    <t>Panchayat Samity</t>
  </si>
  <si>
    <t>' 000 Hectares</t>
  </si>
  <si>
    <t>TABLE 5.3(a)</t>
  </si>
  <si>
    <t>2009-10</t>
  </si>
  <si>
    <t>TABLE 5.3(b)</t>
  </si>
  <si>
    <t xml:space="preserve">      TABLE 5.3(c)  </t>
  </si>
  <si>
    <t>All Combined</t>
  </si>
  <si>
    <t>TABLE 5.3(d)</t>
  </si>
  <si>
    <t>TABLE 5.3(e)</t>
  </si>
  <si>
    <t>TABLE 5.4</t>
  </si>
  <si>
    <t>TABLE 7.1</t>
  </si>
  <si>
    <t>TABLE 8.3</t>
  </si>
  <si>
    <t>TABLE 8.4</t>
  </si>
  <si>
    <t>On live-register at the 
end of the year</t>
  </si>
  <si>
    <t>TABLE 11.1</t>
  </si>
  <si>
    <t>TABLE 11.2</t>
  </si>
  <si>
    <t>TABLE 11.1(a)</t>
  </si>
  <si>
    <t xml:space="preserve">TABLE 12.1 </t>
  </si>
  <si>
    <t>TABLE 12.2</t>
  </si>
  <si>
    <t>TABLE 13.1(Concld.)</t>
  </si>
  <si>
    <t>TABLE 13.3</t>
  </si>
  <si>
    <t>TABLE 13.2</t>
  </si>
  <si>
    <t>TABLE 14.2</t>
  </si>
  <si>
    <t>TABLE 14.1</t>
  </si>
  <si>
    <t>Source : South 24-Parganas Zilla Parishad</t>
  </si>
  <si>
    <t>TABLE 19.1</t>
  </si>
  <si>
    <t>Nil or negligible</t>
  </si>
  <si>
    <t>Not available</t>
  </si>
  <si>
    <t>Provisional</t>
  </si>
  <si>
    <t>Revised</t>
  </si>
  <si>
    <t>Incomplete</t>
  </si>
  <si>
    <t>Estimated</t>
  </si>
  <si>
    <t>Percentage</t>
  </si>
  <si>
    <t>Current Calendar Year</t>
  </si>
  <si>
    <t>Current Financial Year</t>
  </si>
  <si>
    <t xml:space="preserve">Census Year </t>
  </si>
  <si>
    <t>2001</t>
  </si>
  <si>
    <t>Barren &amp; unculturable land</t>
  </si>
  <si>
    <t>Permanent pastures &amp; other grazing land</t>
  </si>
  <si>
    <t>Current fallow</t>
  </si>
  <si>
    <t>Net area sown</t>
  </si>
  <si>
    <t>Sub-Division / C.D.Block / M</t>
  </si>
  <si>
    <t>Marginal</t>
  </si>
  <si>
    <t>Small</t>
  </si>
  <si>
    <t>Semi-medium</t>
  </si>
  <si>
    <t>Medium</t>
  </si>
  <si>
    <t>Large</t>
  </si>
  <si>
    <t>S   I   Z   E    -    C   L   A   S   S</t>
  </si>
  <si>
    <t>(Area in hectare)</t>
  </si>
  <si>
    <t xml:space="preserve">Note : </t>
  </si>
  <si>
    <t xml:space="preserve"> -</t>
  </si>
  <si>
    <t>Jan Sikshan Sansthan</t>
  </si>
  <si>
    <t>Oil Seeds :</t>
  </si>
  <si>
    <t>Fibres :</t>
  </si>
  <si>
    <t>Miscellaneous crops :</t>
  </si>
  <si>
    <t xml:space="preserve">Miscellaneous crops : </t>
  </si>
  <si>
    <t xml:space="preserve">Fibres* : </t>
  </si>
  <si>
    <t xml:space="preserve">Oil Seeds : </t>
  </si>
  <si>
    <t xml:space="preserve">Poultry : </t>
  </si>
  <si>
    <t>Statutory ration shop (C)</t>
  </si>
  <si>
    <t xml:space="preserve">Foodgrains : </t>
  </si>
  <si>
    <t>1.</t>
  </si>
  <si>
    <t>2.</t>
  </si>
  <si>
    <t>3.</t>
  </si>
  <si>
    <t>4.</t>
  </si>
  <si>
    <t>5.</t>
  </si>
  <si>
    <t>6.</t>
  </si>
  <si>
    <t>7.</t>
  </si>
  <si>
    <t>8.</t>
  </si>
  <si>
    <t>Crops</t>
  </si>
  <si>
    <t>Rice</t>
  </si>
  <si>
    <t>Aus</t>
  </si>
  <si>
    <t>Aman</t>
  </si>
  <si>
    <t>Boro</t>
  </si>
  <si>
    <t>Wheat</t>
  </si>
  <si>
    <t>Barley</t>
  </si>
  <si>
    <t>Maize</t>
  </si>
  <si>
    <t>Other Cereals</t>
  </si>
  <si>
    <t>Total Cereals</t>
  </si>
  <si>
    <t>Tur</t>
  </si>
  <si>
    <t>Other Pulses</t>
  </si>
  <si>
    <t>Total Pulses</t>
  </si>
  <si>
    <t>Total Foodgrains</t>
  </si>
  <si>
    <t>Other Oil seeds</t>
  </si>
  <si>
    <t>* According to Agricultural Census (W.B.), 2010-11</t>
  </si>
  <si>
    <t>250.62 (Qtl.)</t>
  </si>
  <si>
    <t>Thousand 
cu. metre</t>
  </si>
  <si>
    <t>* Including deliveries performed at home</t>
  </si>
  <si>
    <t>Centre : Diamond Harbour</t>
  </si>
  <si>
    <t>(3) Dist. Panchayat Office</t>
  </si>
  <si>
    <t xml:space="preserve">District Total </t>
  </si>
  <si>
    <t xml:space="preserve">           PC to TW = Percentage to respective total workers</t>
  </si>
  <si>
    <t>District:</t>
  </si>
  <si>
    <t xml:space="preserve">7) West Bengal State Council of Higher Education </t>
  </si>
  <si>
    <t>7) West Bengal State Council of Higher Education</t>
  </si>
  <si>
    <t>Fruits :</t>
  </si>
  <si>
    <t>Vegetables :</t>
  </si>
  <si>
    <t>550**</t>
  </si>
  <si>
    <r>
      <t xml:space="preserve">316 </t>
    </r>
    <r>
      <rPr>
        <vertAlign val="superscript"/>
        <sz val="10"/>
        <rFont val="Arial"/>
        <family val="2"/>
      </rPr>
      <t>#</t>
    </r>
  </si>
  <si>
    <r>
      <t xml:space="preserve">4835* </t>
    </r>
    <r>
      <rPr>
        <vertAlign val="superscript"/>
        <sz val="10"/>
        <rFont val="Arial"/>
        <family val="2"/>
      </rPr>
      <t>#</t>
    </r>
  </si>
  <si>
    <t xml:space="preserve">Upto 31st March </t>
  </si>
  <si>
    <t>Public Water Works &amp; Sewerage Pump</t>
  </si>
  <si>
    <t>Source : Jt. Director of Sericulture, East Zone, Lake Town, Kolkata</t>
  </si>
  <si>
    <t>Sweet Pumpkin</t>
  </si>
  <si>
    <t>Dist. Engr. Zilla Parishad, South 24-Parganas</t>
  </si>
  <si>
    <t>Source : All Block Development Officers, South 24-Parganas</t>
  </si>
  <si>
    <t>Source : Asstt. Registrar of Co-operative Societies, South 24-Parganas</t>
  </si>
  <si>
    <t>*  In thousand bales of 180 kgs. each</t>
  </si>
  <si>
    <t>D.Harbour-I</t>
  </si>
  <si>
    <t>D.Harbour-II</t>
  </si>
  <si>
    <t>Total Oil seeds</t>
  </si>
  <si>
    <t>Jute</t>
  </si>
  <si>
    <t>Mesta</t>
  </si>
  <si>
    <t>Sugarcane</t>
  </si>
  <si>
    <t>Potato</t>
  </si>
  <si>
    <t>Tobacco</t>
  </si>
  <si>
    <t>Tea</t>
  </si>
  <si>
    <t>Chillies (dry)</t>
  </si>
  <si>
    <t>Ginger</t>
  </si>
  <si>
    <t>Total Miscellaneous crops</t>
  </si>
  <si>
    <t>Source : Agricultural Census, West Bengal</t>
  </si>
  <si>
    <t>Source : Directorate of Animal Resources &amp; Animal Health, Govt.of W.B.</t>
  </si>
  <si>
    <t>Source : Asstt.Registrar of Co-operative Societies, South 24-Parganas</t>
  </si>
  <si>
    <t>N.B.:</t>
  </si>
  <si>
    <t>Covering branches of Baruipur, Budge-Budge, Amtala, Diamond Harbour and Canning</t>
  </si>
  <si>
    <t>(a) "Rural" Includes all centres having population of 10,000 or less</t>
  </si>
  <si>
    <t>Fixed
 Capital
(Rs. in Lakh)</t>
  </si>
  <si>
    <t>Invested
 Capital
(Rs. in Lakh)</t>
  </si>
  <si>
    <t>Mandays
 employed
 (in thousand)</t>
  </si>
  <si>
    <t>Emolu-
ments
(Rs. in Lakh)</t>
  </si>
  <si>
    <t>Net value added 
(Rs. in Lakh)</t>
  </si>
  <si>
    <t>Net
 income
(Rs. in Lakh)</t>
  </si>
  <si>
    <t>Sources :</t>
  </si>
  <si>
    <t>1) Directorate of Agriculture, Govt.of W.B.</t>
  </si>
  <si>
    <t>2) B.A.E.&amp; S., Govt. of W.B.</t>
  </si>
  <si>
    <t>Upto</t>
  </si>
  <si>
    <t>Number of beneficiaries</t>
  </si>
  <si>
    <t>(Kilogram per hectare)</t>
  </si>
  <si>
    <t>District</t>
  </si>
  <si>
    <t>West Bengal</t>
  </si>
  <si>
    <t>(Population in number)</t>
  </si>
  <si>
    <t>Health &amp; Family Welfare Deptt., 
Govt. of W.B.</t>
  </si>
  <si>
    <t>Total No. 
of Beds</t>
  </si>
  <si>
    <t>Sub-Division / 
C.D.Block / M / M.C.</t>
  </si>
  <si>
    <t>5257 (I)</t>
  </si>
  <si>
    <t>Dy. C.M.O.H. - II, South 24-Parganas</t>
  </si>
  <si>
    <t>Super, S.G. Hospitals</t>
  </si>
  <si>
    <t>Quintal</t>
  </si>
  <si>
    <t>No. of factories</t>
  </si>
  <si>
    <t>Agri. Income Tax</t>
  </si>
  <si>
    <t>Part of K.M.C. Area</t>
  </si>
  <si>
    <t>Area (Thousand hectares)</t>
  </si>
  <si>
    <t>Mango</t>
  </si>
  <si>
    <t>Banana</t>
  </si>
  <si>
    <t>Pineapple</t>
  </si>
  <si>
    <t>Papaya</t>
  </si>
  <si>
    <t>Guava</t>
  </si>
  <si>
    <t>Jackfruit</t>
  </si>
  <si>
    <t>Litchi</t>
  </si>
  <si>
    <t>Mandarin Orange</t>
  </si>
  <si>
    <t>Other Citrus</t>
  </si>
  <si>
    <t xml:space="preserve">          DPT = Diphtheria Pertussis Tetanus</t>
  </si>
  <si>
    <t>7) Each Institution of Rabindra Mukta Vidyalaya</t>
  </si>
  <si>
    <t>Mass Literacy Centre (Continuing Education Programme)</t>
  </si>
  <si>
    <t>Sapota</t>
  </si>
  <si>
    <t>B.</t>
  </si>
  <si>
    <t>Tomato</t>
  </si>
  <si>
    <t>Cabbage</t>
  </si>
  <si>
    <t>Source : Census of India, 2001 &amp; 2011</t>
  </si>
  <si>
    <t>labourers (2011)</t>
  </si>
  <si>
    <t>Cauliflower</t>
  </si>
  <si>
    <t>Peas</t>
  </si>
  <si>
    <t>Brinjal</t>
  </si>
  <si>
    <t>Onion</t>
  </si>
  <si>
    <t>Cucurbits</t>
  </si>
  <si>
    <t>9915.25 (R)</t>
  </si>
  <si>
    <t>Ladies Finger</t>
  </si>
  <si>
    <t>Radish</t>
  </si>
  <si>
    <t>Budge Budge</t>
  </si>
  <si>
    <t>No. of accidents occurred</t>
  </si>
  <si>
    <t>3) Tea Board</t>
  </si>
  <si>
    <t>Production (Thousand tonnes)</t>
  </si>
  <si>
    <t>Production</t>
  </si>
  <si>
    <t>Rose</t>
  </si>
  <si>
    <t>Chrysanthemum</t>
  </si>
  <si>
    <t>Area by Class of Forest  :</t>
  </si>
  <si>
    <t>Protected forest / Sanctuary</t>
  </si>
  <si>
    <t>TABLE 5.6</t>
  </si>
  <si>
    <t>Horses and Ponies</t>
  </si>
  <si>
    <t>No. of persons taken loan</t>
  </si>
  <si>
    <t>All Industry</t>
  </si>
  <si>
    <t>Progress of Statutory and Modified Ration shops 
in the district of  South 24-Parganas</t>
  </si>
  <si>
    <t>Musur</t>
  </si>
  <si>
    <t>2) Directorate of Agriculture, Govt. of W.B.</t>
  </si>
  <si>
    <t>Gladiolus</t>
  </si>
  <si>
    <t>Tuberose</t>
  </si>
  <si>
    <t>Marigold</t>
  </si>
  <si>
    <t>Jasmine</t>
  </si>
  <si>
    <t>Seasonal Flower</t>
  </si>
  <si>
    <t>Item</t>
  </si>
  <si>
    <t>Unclassed state forest</t>
  </si>
  <si>
    <t>Khas forest</t>
  </si>
  <si>
    <t>Forest owned by civil authorities</t>
  </si>
  <si>
    <t>Forest owned by private individuals</t>
  </si>
  <si>
    <t>Source : Dist. Agri. Marketing Officer, South 24-Parganas</t>
  </si>
  <si>
    <t xml:space="preserve"> Superintendent</t>
  </si>
  <si>
    <t xml:space="preserve"> S.D.P.O.</t>
  </si>
  <si>
    <t xml:space="preserve"> Inspector</t>
  </si>
  <si>
    <t xml:space="preserve"> Sub-Inspector</t>
  </si>
  <si>
    <t xml:space="preserve"> J.C.O.</t>
  </si>
  <si>
    <t xml:space="preserve"> A.S.I./ Asstt. Sergeant</t>
  </si>
  <si>
    <t xml:space="preserve"> Head Constable </t>
  </si>
  <si>
    <t xml:space="preserve"> Naik</t>
  </si>
  <si>
    <t xml:space="preserve"> Constable  </t>
  </si>
  <si>
    <t>Live-stock</t>
  </si>
  <si>
    <t>40459</t>
  </si>
  <si>
    <t>25713</t>
  </si>
  <si>
    <t>42293</t>
  </si>
  <si>
    <t>27719</t>
  </si>
  <si>
    <t>80</t>
  </si>
  <si>
    <t>68</t>
  </si>
  <si>
    <t>Repair and installation of machinery and equipment</t>
  </si>
  <si>
    <t>Directorate of Rationing, Govt. of W.B.</t>
  </si>
  <si>
    <t xml:space="preserve">      The present issue of the District Statistical Handbook seeks to provide statistical information on various socio-economic aspects of the district in a compact form. Attempts have been made to incorporate up-to-date information so that continuity of the time series of the data published in earlier issues is maintained. Data at the Block level have also been incorporated as far as available, so that those could be effectively used by planners, policymakers and researchers.
       I express my gratitude to the different offices situated in the district for active co-operation received from their end in timely supply of data. I like to put in my appreciation to the officials of the Handbook, Co-ordination &amp; Nucleus (Compilation) units of the Head Office and  District  office of the Bureau of Applied Economics &amp; Statistics for their sincere and sustained effort in bringing out the publication.
      Suggestions for any improvement of the publication will be highly appreciated. </t>
  </si>
  <si>
    <t>P.C. of Col.(9) to respective total workers</t>
  </si>
  <si>
    <t>Ind. = Industry</t>
  </si>
  <si>
    <t>Employment in Registered Factories and State Government Offices</t>
  </si>
  <si>
    <t>Tractor &amp; Trailer</t>
  </si>
  <si>
    <t>Forest owned by corporate bodies</t>
  </si>
  <si>
    <t>Kakdwip .</t>
  </si>
  <si>
    <t xml:space="preserve">Thakurpukur- Maheshtala </t>
  </si>
  <si>
    <t xml:space="preserve">                            </t>
  </si>
  <si>
    <t xml:space="preserve">Sonarpur </t>
  </si>
  <si>
    <t>Alipore</t>
  </si>
  <si>
    <t xml:space="preserve">Timber </t>
  </si>
  <si>
    <t>Fuel</t>
  </si>
  <si>
    <t>Pole</t>
  </si>
  <si>
    <t>Revenue</t>
  </si>
  <si>
    <t>Expenditure</t>
  </si>
  <si>
    <t>Tank</t>
  </si>
  <si>
    <t>HDTW</t>
  </si>
  <si>
    <t>MDTW</t>
  </si>
  <si>
    <t>LDTW</t>
  </si>
  <si>
    <t>STW</t>
  </si>
  <si>
    <t>RLI</t>
  </si>
  <si>
    <t>ODW</t>
  </si>
  <si>
    <t>Diamond Harbour</t>
  </si>
  <si>
    <t>Kakdwip Sub-Div.</t>
  </si>
  <si>
    <t>Area irrigated by</t>
  </si>
  <si>
    <t>Govt.Canal</t>
  </si>
  <si>
    <t xml:space="preserve">MDTW = </t>
  </si>
  <si>
    <t xml:space="preserve">LDTW = </t>
  </si>
  <si>
    <t xml:space="preserve">STW = </t>
  </si>
  <si>
    <t xml:space="preserve">RLI = </t>
  </si>
  <si>
    <t>High capacity Deep Tubewell</t>
  </si>
  <si>
    <t>Middle capacity Deep Tubewell</t>
  </si>
  <si>
    <t>Low capacity Deep Tubewell</t>
  </si>
  <si>
    <t>Shallow Tubewell</t>
  </si>
  <si>
    <t>River Lift Irrigation</t>
  </si>
  <si>
    <t>Open Dug Well</t>
  </si>
  <si>
    <t>TABLE 2.2</t>
  </si>
  <si>
    <t>TABLE 2.1( Concld.)</t>
  </si>
  <si>
    <t>Total Population : (A+B) :</t>
  </si>
  <si>
    <t>Capacity (MT)</t>
  </si>
  <si>
    <t>No.of Cultivators benefitted</t>
  </si>
  <si>
    <t>Cattle :</t>
  </si>
  <si>
    <t xml:space="preserve">Samali </t>
  </si>
  <si>
    <t xml:space="preserve">Daulatpur </t>
  </si>
  <si>
    <t>* As per Census data, Sadashibpur inhabited village is situated partly in Magrahat-I block and partly in Mandirbazar block;
  hence counted as one.</t>
  </si>
  <si>
    <r>
      <t>#</t>
    </r>
    <r>
      <rPr>
        <sz val="9"/>
        <rFont val="Arial"/>
        <family val="2"/>
      </rPr>
      <t xml:space="preserve"> As per Census data, Patra inhabited village is situated partly in Diamond Harbour-I block and partly in Diamond Harbour-II block;
   hence counted as one.</t>
    </r>
  </si>
  <si>
    <t>C.D.Block / M</t>
  </si>
  <si>
    <t xml:space="preserve">Bhasa </t>
  </si>
  <si>
    <t xml:space="preserve">Bishnupur </t>
  </si>
  <si>
    <t xml:space="preserve">Kanyanagar </t>
  </si>
  <si>
    <t xml:space="preserve">Nahazari </t>
  </si>
  <si>
    <t xml:space="preserve">Nadabhanga </t>
  </si>
  <si>
    <t xml:space="preserve">Kanganbaria </t>
  </si>
  <si>
    <t xml:space="preserve">Bora Gagangohalia </t>
  </si>
  <si>
    <t xml:space="preserve">Chanddandaha </t>
  </si>
  <si>
    <t xml:space="preserve">Barkalikapur </t>
  </si>
  <si>
    <t xml:space="preserve">Patharberia </t>
  </si>
  <si>
    <t xml:space="preserve">Ramkrishnapur </t>
  </si>
  <si>
    <t xml:space="preserve">Amtala </t>
  </si>
  <si>
    <t xml:space="preserve">Kriparampur </t>
  </si>
  <si>
    <t xml:space="preserve">Chak Enayetnagar </t>
  </si>
  <si>
    <t xml:space="preserve">Uttar Raypur </t>
  </si>
  <si>
    <t xml:space="preserve">Balarampur </t>
  </si>
  <si>
    <t xml:space="preserve">Buita </t>
  </si>
  <si>
    <t xml:space="preserve">Abhirampur </t>
  </si>
  <si>
    <t xml:space="preserve">Nischintapur </t>
  </si>
  <si>
    <t xml:space="preserve">Birlapur </t>
  </si>
  <si>
    <t xml:space="preserve">Chak Kashipur </t>
  </si>
  <si>
    <t xml:space="preserve">Chak Alampur </t>
  </si>
  <si>
    <t xml:space="preserve">Bowali </t>
  </si>
  <si>
    <t xml:space="preserve">Dakshin Raypur </t>
  </si>
  <si>
    <t xml:space="preserve">Poali </t>
  </si>
  <si>
    <t xml:space="preserve">Radhanagar </t>
  </si>
  <si>
    <t xml:space="preserve">Danga </t>
  </si>
  <si>
    <t xml:space="preserve">Bidyadharpur </t>
  </si>
  <si>
    <t xml:space="preserve">Kalikapur </t>
  </si>
  <si>
    <t xml:space="preserve">Chak Baria </t>
  </si>
  <si>
    <t xml:space="preserve">Sahebpur </t>
  </si>
  <si>
    <t xml:space="preserve">Raynagar </t>
  </si>
  <si>
    <t xml:space="preserve">Kalikapur Barasat </t>
  </si>
  <si>
    <t xml:space="preserve">Baharu </t>
  </si>
  <si>
    <t xml:space="preserve">Uttarparanij </t>
  </si>
  <si>
    <t xml:space="preserve">Alipur </t>
  </si>
  <si>
    <t xml:space="preserve">Uttar Durgapur </t>
  </si>
  <si>
    <t xml:space="preserve">Nimpith </t>
  </si>
  <si>
    <t xml:space="preserve">Tulshighata </t>
  </si>
  <si>
    <t xml:space="preserve">Petua </t>
  </si>
  <si>
    <t xml:space="preserve">Garia </t>
  </si>
  <si>
    <t xml:space="preserve">Panchghara </t>
  </si>
  <si>
    <t xml:space="preserve">Mallikpur </t>
  </si>
  <si>
    <t xml:space="preserve">Hariharpur </t>
  </si>
  <si>
    <t xml:space="preserve">Champahati </t>
  </si>
  <si>
    <t xml:space="preserve">Solgohalia </t>
  </si>
  <si>
    <t xml:space="preserve">Naridana </t>
  </si>
  <si>
    <t xml:space="preserve">Khodar Bazar </t>
  </si>
  <si>
    <t xml:space="preserve">Komarhat </t>
  </si>
  <si>
    <t xml:space="preserve">Maricha </t>
  </si>
  <si>
    <t xml:space="preserve">Kalaria </t>
  </si>
  <si>
    <t xml:space="preserve">Gaur Daha </t>
  </si>
  <si>
    <t xml:space="preserve">Banshra </t>
  </si>
  <si>
    <t xml:space="preserve">Rajapur </t>
  </si>
  <si>
    <t xml:space="preserve">Taldi </t>
  </si>
  <si>
    <t xml:space="preserve">Bayarsing </t>
  </si>
  <si>
    <t xml:space="preserve">Matla </t>
  </si>
  <si>
    <t xml:space="preserve">Dighirpar </t>
  </si>
  <si>
    <t xml:space="preserve">Makhal Tala </t>
  </si>
  <si>
    <t xml:space="preserve">Basanti </t>
  </si>
  <si>
    <t xml:space="preserve">Ajodhyanagar </t>
  </si>
  <si>
    <t xml:space="preserve">Sirakol </t>
  </si>
  <si>
    <t xml:space="preserve">Uttar Bishnupur </t>
  </si>
  <si>
    <t>Fish Farmer's Development Agencies (F.F.D.A.)</t>
  </si>
  <si>
    <t>Anganwadi (Education) Centres under I.C.D.S.</t>
  </si>
  <si>
    <t xml:space="preserve">Ghola Noapara </t>
  </si>
  <si>
    <t xml:space="preserve">Usthi </t>
  </si>
  <si>
    <t xml:space="preserve">Barijpur </t>
  </si>
  <si>
    <t>District Total 2011</t>
  </si>
  <si>
    <t xml:space="preserve">Uttar Kusum </t>
  </si>
  <si>
    <t xml:space="preserve">Kalikapota </t>
  </si>
  <si>
    <t xml:space="preserve">Bamna </t>
  </si>
  <si>
    <t xml:space="preserve">Dhamua </t>
  </si>
  <si>
    <t xml:space="preserve">Shyampur </t>
  </si>
  <si>
    <t xml:space="preserve">Nainan </t>
  </si>
  <si>
    <t xml:space="preserve">Uttar Kalas </t>
  </si>
  <si>
    <t xml:space="preserve">Dihi Kalas </t>
  </si>
  <si>
    <t xml:space="preserve">Swangrampur </t>
  </si>
  <si>
    <t xml:space="preserve">Bilandapur </t>
  </si>
  <si>
    <t xml:space="preserve">Magrahat </t>
  </si>
  <si>
    <t xml:space="preserve">Berandari Bagaria </t>
  </si>
  <si>
    <t xml:space="preserve">Dhola </t>
  </si>
  <si>
    <t xml:space="preserve">Hasimnagar </t>
  </si>
  <si>
    <t xml:space="preserve">Baneshwarpur </t>
  </si>
  <si>
    <t xml:space="preserve">Fatepur </t>
  </si>
  <si>
    <t xml:space="preserve">Masat </t>
  </si>
  <si>
    <t xml:space="preserve">Sangrampur </t>
  </si>
  <si>
    <t xml:space="preserve">Mohanpur </t>
  </si>
  <si>
    <t xml:space="preserve">Durganagar </t>
  </si>
  <si>
    <t xml:space="preserve">Patdaha </t>
  </si>
  <si>
    <t xml:space="preserve">Purba Ranaghat </t>
  </si>
  <si>
    <t xml:space="preserve">Lalpur </t>
  </si>
  <si>
    <t xml:space="preserve">Krishna Chandrapur </t>
  </si>
  <si>
    <t xml:space="preserve">Mathurapur </t>
  </si>
  <si>
    <t>Sub-division /
 Town</t>
  </si>
  <si>
    <t>M / C.T.</t>
  </si>
  <si>
    <t>0 / 10</t>
  </si>
  <si>
    <t>3 / 36</t>
  </si>
  <si>
    <t>3 / 30</t>
  </si>
  <si>
    <t>1 / 35</t>
  </si>
  <si>
    <t>7 / 111</t>
  </si>
  <si>
    <t>Cows</t>
  </si>
  <si>
    <t>Young Stock</t>
  </si>
  <si>
    <t>Buffaloes :</t>
  </si>
  <si>
    <t>Goats</t>
  </si>
  <si>
    <t>Pigs</t>
  </si>
  <si>
    <t>Fowls</t>
  </si>
  <si>
    <t>Ducks</t>
  </si>
  <si>
    <t>BAHC</t>
  </si>
  <si>
    <t>ABAHC</t>
  </si>
  <si>
    <t>ADAC</t>
  </si>
  <si>
    <t>MAHC</t>
  </si>
  <si>
    <t>Veterinary personnel</t>
  </si>
  <si>
    <t>Sub-Division / 
C.D.Block / M</t>
  </si>
  <si>
    <t>Central Bank</t>
  </si>
  <si>
    <t>Primary Land Mortgage bank</t>
  </si>
  <si>
    <t>All Credit Societies (1 + 2 + 3 + 4)</t>
  </si>
  <si>
    <t>Total of All Credit &amp; Non-Credit Societies (5 + 6)</t>
  </si>
  <si>
    <t>Semi-Urban</t>
  </si>
  <si>
    <t>Urban / Metropolitan</t>
  </si>
  <si>
    <t>TABLE 2.10(a)</t>
  </si>
  <si>
    <t>Hindu</t>
  </si>
  <si>
    <t>Muslim</t>
  </si>
  <si>
    <t>Christian</t>
  </si>
  <si>
    <t>Sikh</t>
  </si>
  <si>
    <t>Buddhist</t>
  </si>
  <si>
    <t>Jain</t>
  </si>
  <si>
    <t>(b) "Semi-urban" includes all centres with population over 10,000 and upto 1 lakh</t>
  </si>
  <si>
    <t>(c) "Urban" includes all centres with population over 1 lakh and upto 10 lakhs</t>
  </si>
  <si>
    <t xml:space="preserve">Mograhat-I </t>
  </si>
  <si>
    <t>Mehestala (M)</t>
  </si>
  <si>
    <t>New Business</t>
  </si>
  <si>
    <t>Loan Distributed</t>
  </si>
  <si>
    <t>Name of Sub-Division</t>
  </si>
  <si>
    <t>Renewal Premium</t>
  </si>
  <si>
    <t>Employment</t>
  </si>
  <si>
    <t>Domestic</t>
  </si>
  <si>
    <t>Industrial</t>
  </si>
  <si>
    <t>Public lighting</t>
  </si>
  <si>
    <t>TABLE 3.2</t>
  </si>
  <si>
    <t>TABLE 3.1</t>
  </si>
  <si>
    <t>1-600</t>
  </si>
  <si>
    <t>601-1000</t>
  </si>
  <si>
    <t>1001-1800</t>
  </si>
  <si>
    <t>1801 &amp; above</t>
  </si>
  <si>
    <t>Sl.
 No.</t>
  </si>
  <si>
    <t>Sl. 
No.</t>
  </si>
  <si>
    <t>*</t>
  </si>
  <si>
    <t>(values in lakh rupees, mandays in thousand &amp; others in number)</t>
  </si>
  <si>
    <t>Part of K.M.C. area</t>
  </si>
  <si>
    <t xml:space="preserve">Baruipur </t>
  </si>
  <si>
    <t>Rajpur-Sonarpur(M)</t>
  </si>
  <si>
    <t xml:space="preserve">Thakurpukur-Maheshtala </t>
  </si>
  <si>
    <t>Budge-Budge (M)</t>
  </si>
  <si>
    <t>Maheshtala (M)</t>
  </si>
  <si>
    <t>Pujali (M)</t>
  </si>
  <si>
    <t>Jaynagar-Majilpur (M)</t>
  </si>
  <si>
    <t>Baruipur (M)</t>
  </si>
  <si>
    <t>Rajpur-Sonarpur (M)</t>
  </si>
  <si>
    <t>Diamond Harbour-I</t>
  </si>
  <si>
    <t>Diamond Harbour-II</t>
  </si>
  <si>
    <t xml:space="preserve">Sub-Division / C.D.Block </t>
  </si>
  <si>
    <t>Values 
of Input
 (Rs. in Lakh)</t>
  </si>
  <si>
    <t>Values of
 Output
(Rs. in Lakh)</t>
  </si>
  <si>
    <t>Micro &amp; Small Scale Enterprises with corresponding Employment 
in the district of  South 24-Parganas</t>
  </si>
  <si>
    <t>Cocoons production</t>
  </si>
  <si>
    <t>TABLE 9.2</t>
  </si>
  <si>
    <t>Establishments with hired workers</t>
  </si>
  <si>
    <t>TABLE 9.2(a)</t>
  </si>
  <si>
    <t>TABLE 9.2(b)</t>
  </si>
  <si>
    <t>Mulberry (MT)</t>
  </si>
  <si>
    <t>Mulberry</t>
  </si>
  <si>
    <t>Tasar</t>
  </si>
  <si>
    <t>Eri</t>
  </si>
  <si>
    <t>Muga</t>
  </si>
  <si>
    <t>Sector</t>
  </si>
  <si>
    <t>Sectors</t>
  </si>
  <si>
    <t>Agricultural</t>
  </si>
  <si>
    <t>Non-agricultural</t>
  </si>
  <si>
    <t>HANDBOOK FOR THE YEAR</t>
  </si>
  <si>
    <t>Combined</t>
  </si>
  <si>
    <t>Hired workers</t>
  </si>
  <si>
    <t>Females employed</t>
  </si>
  <si>
    <t>Occupational Group</t>
  </si>
  <si>
    <t>Industrial supervisory</t>
  </si>
  <si>
    <t>Jaynagar(Part)</t>
  </si>
  <si>
    <t>Clerical</t>
  </si>
  <si>
    <t>Educational</t>
  </si>
  <si>
    <t>Unskilled</t>
  </si>
  <si>
    <t>All groups</t>
  </si>
  <si>
    <t>TABLE 4.3(a)</t>
  </si>
  <si>
    <t>TABLE 4.3(b)</t>
  </si>
  <si>
    <t>2) Saksharata Samity, South 24-Parganas</t>
  </si>
  <si>
    <t xml:space="preserve">Alipore Sub-Division </t>
  </si>
  <si>
    <t xml:space="preserve">District Magistrate, South 24-Parganas </t>
  </si>
  <si>
    <t>TABLE 4.7</t>
  </si>
  <si>
    <t>TABLE 4.6</t>
  </si>
  <si>
    <t>TABLE 4.5</t>
  </si>
  <si>
    <t>TABLE 4.3(c)</t>
  </si>
  <si>
    <t>TABLE 4.8</t>
  </si>
  <si>
    <t>TABLE 5.1(a)</t>
  </si>
  <si>
    <t>TABLE 5.1</t>
  </si>
  <si>
    <t>Note : Marginal -</t>
  </si>
  <si>
    <t>Below 1.0 hectare</t>
  </si>
  <si>
    <t>Small -</t>
  </si>
  <si>
    <t>1.0 hectare and above but less than 2.0 hectares</t>
  </si>
  <si>
    <t>Semi-medium -</t>
  </si>
  <si>
    <t>2.0 hectares and above but less than 4.0 hectares</t>
  </si>
  <si>
    <t>Medium -</t>
  </si>
  <si>
    <t>* As per 2011 Census Population</t>
  </si>
  <si>
    <t>31.10.2013 (P)</t>
  </si>
  <si>
    <t>4.0 hectares and above but less than 10.0 hectares</t>
  </si>
  <si>
    <t>Large -</t>
  </si>
  <si>
    <t>Literacy Rate by sex in rural and urban areas</t>
  </si>
  <si>
    <t>10.0 hectares and above. It includes mostly institutional holdings</t>
  </si>
  <si>
    <t>1 Acre =</t>
  </si>
  <si>
    <t>0.404686 hectare</t>
  </si>
  <si>
    <t>TABLE 5.1(b)</t>
  </si>
  <si>
    <t>TABLE 5.2</t>
  </si>
  <si>
    <t>TABLE 5.3</t>
  </si>
  <si>
    <t>Old-age assistance</t>
  </si>
  <si>
    <t xml:space="preserve"> Director</t>
  </si>
  <si>
    <t>Recipients (No.)</t>
  </si>
  <si>
    <t>Widow assistance</t>
  </si>
  <si>
    <t>Handicapped assistance</t>
  </si>
  <si>
    <t>Class of Offence</t>
  </si>
  <si>
    <t xml:space="preserve">Diamond Harbour </t>
  </si>
  <si>
    <t>CONTENTS</t>
  </si>
  <si>
    <t>Murder</t>
  </si>
  <si>
    <t>Dacoity</t>
  </si>
  <si>
    <t>Robbery</t>
  </si>
  <si>
    <t>Burglary</t>
  </si>
  <si>
    <t>Rioting</t>
  </si>
  <si>
    <t>Theft</t>
  </si>
  <si>
    <t>Offences against women</t>
  </si>
  <si>
    <t>Centre : Kolkata</t>
  </si>
  <si>
    <t>Chata Kalikapur</t>
  </si>
  <si>
    <t>Joka</t>
  </si>
  <si>
    <t xml:space="preserve">TABLE 2.3   </t>
  </si>
  <si>
    <t>TABLE 2.1(a)</t>
  </si>
  <si>
    <t>Amtala</t>
  </si>
  <si>
    <t>Premium Income (Rs. in thousand)</t>
  </si>
  <si>
    <t>Source : West Bengal Energy Dev. Corpation Ltd.</t>
  </si>
  <si>
    <t>(Thousand K.W.H.)</t>
  </si>
  <si>
    <t>West Bengal State Electricity Distribution Company Ltd., 
Vidyut Bhaban, Salt lake</t>
  </si>
  <si>
    <t>Railway Traction &amp; Non-traction</t>
  </si>
  <si>
    <t>* n.e.c.= not elsewhere classified</t>
  </si>
  <si>
    <t>Source : B.A.E.&amp; S., Govt. of  W.B.</t>
  </si>
  <si>
    <t>Value of production  (Thousand rupees)</t>
  </si>
  <si>
    <t>Own-account Establishments</t>
  </si>
  <si>
    <t>Skilled &amp; Semi-skilled</t>
  </si>
  <si>
    <t>Project Officer cum Dist. Welfare Officer    
(Backward Classes Welfare ), 
South 24-Parganas</t>
  </si>
  <si>
    <t>Dist. Social Welfare Officer, South 24-Pgs</t>
  </si>
  <si>
    <t>Price as on February (in Rs.)</t>
  </si>
  <si>
    <t>Coconut (Shell)</t>
  </si>
  <si>
    <t>4708*</t>
  </si>
  <si>
    <t>*  Excluding Private Bodies</t>
  </si>
  <si>
    <t>Forest Area (C)</t>
  </si>
  <si>
    <t>(a)  less than 50 hectares</t>
  </si>
  <si>
    <t>(b)  Less than 50 tonnes</t>
  </si>
  <si>
    <t>NIC ' 08 Code</t>
  </si>
  <si>
    <t>Manufacture of rubber and plastic products</t>
  </si>
  <si>
    <t>Manufacture of machinery and equipment n. e. c.*</t>
  </si>
  <si>
    <t>Average monthly expenditure level (in Rs.)</t>
  </si>
  <si>
    <t>(Base : 2001=100)</t>
  </si>
  <si>
    <t>Registered Working Factories (C)</t>
  </si>
  <si>
    <t>Budge-Budge</t>
  </si>
  <si>
    <t>Pujali</t>
  </si>
  <si>
    <t>Jaynagar-Majilpur</t>
  </si>
  <si>
    <t>Rajpur-Sonarpur</t>
  </si>
  <si>
    <t>C.T.</t>
  </si>
  <si>
    <t>36*</t>
  </si>
  <si>
    <t>54705</t>
  </si>
  <si>
    <t>42285</t>
  </si>
  <si>
    <t>131</t>
  </si>
  <si>
    <t>1**</t>
  </si>
  <si>
    <t>Pattaholder</t>
  </si>
  <si>
    <t>552493*</t>
  </si>
  <si>
    <t>950(R)</t>
  </si>
  <si>
    <t>1150(R)</t>
  </si>
  <si>
    <t>1000(R)</t>
  </si>
  <si>
    <t>-723680 *</t>
  </si>
  <si>
    <t>Deputy Director, Agriculture,</t>
  </si>
  <si>
    <t xml:space="preserve">Executive Engineer, Agri-Mechanical, </t>
  </si>
  <si>
    <t>Howrah Division</t>
  </si>
  <si>
    <t>Kolkata Division</t>
  </si>
  <si>
    <t>* Including figure of national Park</t>
  </si>
  <si>
    <t>3*</t>
  </si>
  <si>
    <t>*7 bus routes have ceased to operate</t>
  </si>
  <si>
    <t>** 4 bus routes have ceased to operate</t>
  </si>
  <si>
    <t>30.09.2010</t>
  </si>
  <si>
    <t>30.09.2011</t>
  </si>
  <si>
    <t>30.09.2012</t>
  </si>
  <si>
    <t>30.06.2013</t>
  </si>
  <si>
    <t>31.03.2014</t>
  </si>
  <si>
    <t>Source : P.W.D.(Roads) Directorate (Head Quarters) , Govt. of W.B.</t>
  </si>
  <si>
    <t>P.W.D.(Roads) Directorate (Head Quarters) , Govt. of W.B.</t>
  </si>
  <si>
    <t>Kolkata Leather- 
Complex (Part), 
Kashipur</t>
  </si>
  <si>
    <t>Rabindranagar(Part),
Maheshtala(Part)</t>
  </si>
  <si>
    <t>Maheshtala(Part)
Bishnupur (Part)
Rabindranagar(Part)</t>
  </si>
  <si>
    <t>Baruipur(Part), 
Baruipur Women
Police Station (Part)</t>
  </si>
  <si>
    <t>Basanti
Jharkhali Coastal</t>
  </si>
  <si>
    <t>D.Harbour(Part)
D.Harbour Women(Part)</t>
  </si>
  <si>
    <t>D.Harbour(Part)
D.Harbour Women(Part)
Parulia Coastal(Part)</t>
  </si>
  <si>
    <t>Ramnagar,
D.Harbour(Part)
Parulia Coastal(Part)</t>
  </si>
  <si>
    <t>Namkhana,
Kakdwip (Part),
Frazerganj Coastal</t>
  </si>
  <si>
    <t>Sagar
Gangasagar Coastal</t>
  </si>
  <si>
    <t>Patharpratima,
Dholarhat (Part)
Gobardhanpur Coastal</t>
  </si>
  <si>
    <t>419494(R)</t>
  </si>
  <si>
    <t>40617(R)</t>
  </si>
  <si>
    <t>268(R)</t>
  </si>
  <si>
    <t>47442(R)</t>
  </si>
  <si>
    <t>45336(R)</t>
  </si>
  <si>
    <t>Source : Economic Census,  2005 &amp; 2013</t>
  </si>
  <si>
    <t>289(R)</t>
  </si>
  <si>
    <t>1112700(R)</t>
  </si>
  <si>
    <t>7740 (P)</t>
  </si>
  <si>
    <t>480164 (P)</t>
  </si>
  <si>
    <t xml:space="preserve">
Employment in 
State Government  Offices
(As on 31st January)</t>
  </si>
  <si>
    <t>Number of Live-stock and Poultry in the Blocks of South 24-Parganas
(As per Live-stock Census, 2007)</t>
  </si>
  <si>
    <r>
      <t>Source : 18</t>
    </r>
    <r>
      <rPr>
        <vertAlign val="superscript"/>
        <sz val="9"/>
        <color indexed="61"/>
        <rFont val="Arial"/>
        <family val="2"/>
      </rPr>
      <t>th</t>
    </r>
    <r>
      <rPr>
        <sz val="9"/>
        <color indexed="61"/>
        <rFont val="Arial"/>
      </rPr>
      <t xml:space="preserve"> All India Live-stock Census, 2007</t>
    </r>
  </si>
  <si>
    <t>58</t>
  </si>
  <si>
    <t>Selected Characteristics of Factories by industry group in the district of South 24-Parganas for the year 2011-12</t>
  </si>
  <si>
    <t>Publishing activities</t>
  </si>
  <si>
    <t>II.  AREA AND POPULATION (16 Tables)</t>
  </si>
  <si>
    <t>I. LOCATION, RAINFALL &amp; CLIMATE (4 tables)</t>
  </si>
  <si>
    <t>III. PUBLIC HEALTH (5 Tables)</t>
  </si>
  <si>
    <t>IV. EDUCATION AND CULTURE (14 Tables)</t>
  </si>
  <si>
    <t>V. AGRICULTURE &amp; ALLIED SECTORS (16 Tables)</t>
  </si>
  <si>
    <t>VI. LIVE-STOCK (2 Tables)</t>
  </si>
  <si>
    <t>VII. CO-OPERATIVE, BANKING &amp; INSURANCE (3 Tables)</t>
  </si>
  <si>
    <t>VIII. INDUSTRY (5 Tables)</t>
  </si>
  <si>
    <t>IX. EMPLOYMENT AND LABOUR (4 Tables)</t>
  </si>
  <si>
    <t>X. EMPLOYMENT EXCHANGE AND SOCIAL SERVICE (3 Tables)</t>
  </si>
  <si>
    <t>XI. PRICE (5 Tables)</t>
  </si>
  <si>
    <t>XII. TRANSPORT AND COMMUNICATION (7 Tables)</t>
  </si>
  <si>
    <t>XIII. JUDICIAL AND POLICE (3 Tables)</t>
  </si>
  <si>
    <t>XIV. LOCAL-BODIES (2 Tables)</t>
  </si>
  <si>
    <t>XV. FINANCE (2 Tables)</t>
  </si>
  <si>
    <t>BLOCK LEVEL STATISTICS (11 Tables)</t>
  </si>
  <si>
    <t>Tapas Kumar Debnath</t>
  </si>
  <si>
    <t>31.12.2014</t>
  </si>
  <si>
    <t>Education :</t>
  </si>
  <si>
    <t>Literates : Male</t>
  </si>
  <si>
    <t xml:space="preserve">                Female</t>
  </si>
  <si>
    <t xml:space="preserve">                Total</t>
  </si>
  <si>
    <t>Surfaced Road</t>
  </si>
  <si>
    <t>Unsurfaced Road</t>
  </si>
  <si>
    <t>CC : Conventional Contraceptive</t>
  </si>
  <si>
    <t>OP : Oral Pill</t>
  </si>
  <si>
    <t>MTP : Medical Termination of Pregnancy</t>
  </si>
  <si>
    <t>30.11.2009</t>
  </si>
  <si>
    <t>1918 (R)</t>
  </si>
  <si>
    <t>The 17th June, 2016</t>
  </si>
</sst>
</file>

<file path=xl/styles.xml><?xml version="1.0" encoding="utf-8"?>
<styleSheet xmlns="http://schemas.openxmlformats.org/spreadsheetml/2006/main">
  <numFmts count="3">
    <numFmt numFmtId="164" formatCode="0.0"/>
    <numFmt numFmtId="165" formatCode="0.000"/>
    <numFmt numFmtId="166" formatCode="0.000000"/>
  </numFmts>
  <fonts count="162">
    <font>
      <sz val="10"/>
      <name val="Arial"/>
    </font>
    <font>
      <sz val="10"/>
      <name val="Arial"/>
      <family val="2"/>
    </font>
    <font>
      <b/>
      <sz val="10"/>
      <name val="Arial"/>
      <family val="2"/>
    </font>
    <font>
      <sz val="10"/>
      <name val="Arial"/>
      <family val="2"/>
    </font>
    <font>
      <u/>
      <sz val="10"/>
      <color indexed="12"/>
      <name val="Arial"/>
      <family val="2"/>
    </font>
    <font>
      <b/>
      <sz val="10"/>
      <name val="Arial Narrow"/>
      <family val="2"/>
    </font>
    <font>
      <sz val="10"/>
      <name val="Arial Narrow"/>
      <family val="2"/>
    </font>
    <font>
      <sz val="9"/>
      <name val="Arial"/>
      <family val="2"/>
    </font>
    <font>
      <sz val="8"/>
      <name val="Arial"/>
      <family val="2"/>
    </font>
    <font>
      <b/>
      <sz val="10"/>
      <color indexed="18"/>
      <name val="Arial"/>
      <family val="2"/>
    </font>
    <font>
      <sz val="10"/>
      <color indexed="18"/>
      <name val="Arial"/>
      <family val="2"/>
    </font>
    <font>
      <b/>
      <sz val="10"/>
      <color indexed="10"/>
      <name val="Arial"/>
      <family val="2"/>
    </font>
    <font>
      <sz val="10"/>
      <color indexed="10"/>
      <name val="Arial"/>
      <family val="2"/>
    </font>
    <font>
      <sz val="10"/>
      <color indexed="10"/>
      <name val="Arial Narrow"/>
      <family val="2"/>
    </font>
    <font>
      <sz val="9"/>
      <color indexed="10"/>
      <name val="Arial"/>
      <family val="2"/>
    </font>
    <font>
      <sz val="10"/>
      <color indexed="57"/>
      <name val="Arial"/>
      <family val="2"/>
    </font>
    <font>
      <sz val="10"/>
      <color indexed="17"/>
      <name val="Arial"/>
      <family val="2"/>
    </font>
    <font>
      <sz val="10"/>
      <color indexed="53"/>
      <name val="Arial"/>
      <family val="2"/>
    </font>
    <font>
      <b/>
      <sz val="10"/>
      <color indexed="13"/>
      <name val="Arial"/>
      <family val="2"/>
    </font>
    <font>
      <b/>
      <sz val="10"/>
      <color indexed="14"/>
      <name val="Arial"/>
      <family val="2"/>
    </font>
    <font>
      <sz val="10"/>
      <color indexed="14"/>
      <name val="Arial"/>
      <family val="2"/>
    </font>
    <font>
      <sz val="10"/>
      <color indexed="57"/>
      <name val="Arial Narrow"/>
      <family val="2"/>
    </font>
    <font>
      <sz val="10"/>
      <color indexed="57"/>
      <name val="Arial"/>
      <family val="2"/>
    </font>
    <font>
      <b/>
      <sz val="10"/>
      <color indexed="57"/>
      <name val="Arial"/>
      <family val="2"/>
    </font>
    <font>
      <b/>
      <sz val="10"/>
      <color indexed="53"/>
      <name val="Arial"/>
      <family val="2"/>
    </font>
    <font>
      <b/>
      <sz val="10"/>
      <color indexed="12"/>
      <name val="Arial"/>
      <family val="2"/>
    </font>
    <font>
      <sz val="10"/>
      <color indexed="11"/>
      <name val="Arial"/>
      <family val="2"/>
    </font>
    <font>
      <sz val="10"/>
      <color indexed="52"/>
      <name val="Arial"/>
      <family val="2"/>
    </font>
    <font>
      <b/>
      <sz val="10"/>
      <color indexed="17"/>
      <name val="Arial"/>
      <family val="2"/>
    </font>
    <font>
      <sz val="10"/>
      <color indexed="48"/>
      <name val="Arial"/>
      <family val="2"/>
    </font>
    <font>
      <b/>
      <sz val="10"/>
      <color indexed="16"/>
      <name val="Arial"/>
      <family val="2"/>
    </font>
    <font>
      <sz val="10"/>
      <color indexed="16"/>
      <name val="Arial"/>
      <family val="2"/>
    </font>
    <font>
      <sz val="10"/>
      <color indexed="20"/>
      <name val="Arial"/>
      <family val="2"/>
    </font>
    <font>
      <sz val="10"/>
      <color indexed="12"/>
      <name val="Arial"/>
      <family val="2"/>
    </font>
    <font>
      <b/>
      <sz val="10"/>
      <color indexed="20"/>
      <name val="Arial"/>
      <family val="2"/>
    </font>
    <font>
      <sz val="10"/>
      <color indexed="46"/>
      <name val="Arial"/>
      <family val="2"/>
    </font>
    <font>
      <sz val="10"/>
      <color indexed="53"/>
      <name val="Arial Narrow"/>
      <family val="2"/>
    </font>
    <font>
      <sz val="10"/>
      <color indexed="62"/>
      <name val="Arial"/>
      <family val="2"/>
    </font>
    <font>
      <b/>
      <sz val="10"/>
      <color indexed="14"/>
      <name val="Arial Narrow"/>
      <family val="2"/>
    </font>
    <font>
      <sz val="10"/>
      <color indexed="14"/>
      <name val="Arial Narrow"/>
      <family val="2"/>
    </font>
    <font>
      <sz val="10"/>
      <color indexed="19"/>
      <name val="Arial"/>
      <family val="2"/>
    </font>
    <font>
      <sz val="10"/>
      <color indexed="8"/>
      <name val="Arial"/>
      <family val="2"/>
    </font>
    <font>
      <sz val="10"/>
      <color indexed="54"/>
      <name val="Arial"/>
      <family val="2"/>
    </font>
    <font>
      <b/>
      <sz val="10"/>
      <color indexed="54"/>
      <name val="Arial"/>
      <family val="2"/>
    </font>
    <font>
      <sz val="10"/>
      <color indexed="20"/>
      <name val="Arial Narrow"/>
      <family val="2"/>
    </font>
    <font>
      <sz val="10"/>
      <color indexed="20"/>
      <name val="Arial"/>
      <family val="2"/>
    </font>
    <font>
      <sz val="10"/>
      <color indexed="14"/>
      <name val="Arial"/>
      <family val="2"/>
    </font>
    <font>
      <sz val="10"/>
      <color indexed="21"/>
      <name val="Arial Narrow"/>
      <family val="2"/>
    </font>
    <font>
      <sz val="10"/>
      <color indexed="21"/>
      <name val="Arial"/>
      <family val="2"/>
    </font>
    <font>
      <sz val="10"/>
      <color indexed="40"/>
      <name val="Arial Narrow"/>
      <family val="2"/>
    </font>
    <font>
      <b/>
      <sz val="10"/>
      <color indexed="40"/>
      <name val="Arial"/>
      <family val="2"/>
    </font>
    <font>
      <sz val="10"/>
      <color indexed="40"/>
      <name val="Arial"/>
      <family val="2"/>
    </font>
    <font>
      <b/>
      <sz val="10"/>
      <color indexed="48"/>
      <name val="Arial"/>
      <family val="2"/>
    </font>
    <font>
      <sz val="10"/>
      <color indexed="61"/>
      <name val="Arial"/>
      <family val="2"/>
    </font>
    <font>
      <sz val="10"/>
      <color indexed="60"/>
      <name val="Arial"/>
      <family val="2"/>
    </font>
    <font>
      <sz val="10"/>
      <color indexed="62"/>
      <name val="Arial"/>
      <family val="2"/>
    </font>
    <font>
      <b/>
      <sz val="10"/>
      <color indexed="45"/>
      <name val="Arial"/>
      <family val="2"/>
    </font>
    <font>
      <b/>
      <sz val="10"/>
      <color indexed="61"/>
      <name val="Arial"/>
      <family val="2"/>
    </font>
    <font>
      <b/>
      <sz val="10"/>
      <color indexed="60"/>
      <name val="Arial"/>
      <family val="2"/>
    </font>
    <font>
      <sz val="10"/>
      <color indexed="52"/>
      <name val="Arial"/>
      <family val="2"/>
    </font>
    <font>
      <b/>
      <sz val="10"/>
      <color indexed="52"/>
      <name val="Arial"/>
      <family val="2"/>
    </font>
    <font>
      <sz val="10"/>
      <color indexed="40"/>
      <name val="Arial"/>
      <family val="2"/>
    </font>
    <font>
      <b/>
      <sz val="10"/>
      <color indexed="62"/>
      <name val="Arial"/>
      <family val="2"/>
    </font>
    <font>
      <sz val="10"/>
      <color indexed="45"/>
      <name val="Arial"/>
      <family val="2"/>
    </font>
    <font>
      <sz val="10"/>
      <color indexed="21"/>
      <name val="Arial"/>
      <family val="2"/>
    </font>
    <font>
      <sz val="10"/>
      <color indexed="61"/>
      <name val="Arial"/>
      <family val="2"/>
    </font>
    <font>
      <sz val="10"/>
      <color indexed="45"/>
      <name val="Arial"/>
      <family val="2"/>
    </font>
    <font>
      <sz val="10"/>
      <color indexed="56"/>
      <name val="Arial"/>
      <family val="2"/>
    </font>
    <font>
      <b/>
      <sz val="10"/>
      <color indexed="21"/>
      <name val="Arial"/>
      <family val="2"/>
    </font>
    <font>
      <b/>
      <u/>
      <sz val="10"/>
      <color indexed="17"/>
      <name val="Arial"/>
      <family val="2"/>
    </font>
    <font>
      <sz val="10"/>
      <color indexed="18"/>
      <name val="Arial"/>
      <family val="2"/>
    </font>
    <font>
      <b/>
      <sz val="10"/>
      <color indexed="60"/>
      <name val="Arial Narrow"/>
      <family val="2"/>
    </font>
    <font>
      <b/>
      <i/>
      <sz val="14"/>
      <color indexed="62"/>
      <name val="Lucida Handwriting"/>
      <family val="4"/>
    </font>
    <font>
      <b/>
      <sz val="14"/>
      <color indexed="12"/>
      <name val="Arial"/>
      <family val="2"/>
    </font>
    <font>
      <sz val="16"/>
      <color indexed="10"/>
      <name val="Bookman Old Style"/>
      <family val="1"/>
    </font>
    <font>
      <b/>
      <u/>
      <sz val="12"/>
      <color indexed="62"/>
      <name val="Arial"/>
      <family val="2"/>
    </font>
    <font>
      <b/>
      <sz val="10"/>
      <color indexed="19"/>
      <name val="Arial"/>
      <family val="2"/>
    </font>
    <font>
      <b/>
      <u/>
      <sz val="12"/>
      <color indexed="18"/>
      <name val="Times New Roman"/>
      <family val="1"/>
    </font>
    <font>
      <sz val="18"/>
      <color indexed="53"/>
      <name val="Times New Roman"/>
      <family val="1"/>
    </font>
    <font>
      <sz val="12"/>
      <color indexed="17"/>
      <name val="Times New Roman"/>
      <family val="1"/>
    </font>
    <font>
      <b/>
      <sz val="28"/>
      <color indexed="17"/>
      <name val="Arial Narrow"/>
      <family val="2"/>
    </font>
    <font>
      <b/>
      <sz val="28"/>
      <color indexed="60"/>
      <name val="Arial"/>
      <family val="2"/>
    </font>
    <font>
      <b/>
      <sz val="36"/>
      <color indexed="10"/>
      <name val="Arial"/>
      <family val="2"/>
    </font>
    <font>
      <b/>
      <u/>
      <sz val="26"/>
      <color indexed="17"/>
      <name val="Monotype Corsiva"/>
      <family val="4"/>
    </font>
    <font>
      <b/>
      <u/>
      <sz val="20"/>
      <color indexed="17"/>
      <name val="Arial"/>
      <family val="2"/>
    </font>
    <font>
      <sz val="14"/>
      <color indexed="20"/>
      <name val="Monotype Corsiva"/>
      <family val="4"/>
    </font>
    <font>
      <sz val="10"/>
      <color indexed="17"/>
      <name val="Times New Roman"/>
      <family val="1"/>
    </font>
    <font>
      <b/>
      <sz val="9"/>
      <color indexed="14"/>
      <name val="Arial"/>
      <family val="2"/>
    </font>
    <font>
      <b/>
      <sz val="14"/>
      <color indexed="21"/>
      <name val="Times New Roman"/>
      <family val="1"/>
    </font>
    <font>
      <sz val="9"/>
      <color indexed="20"/>
      <name val="Arial"/>
      <family val="2"/>
    </font>
    <font>
      <sz val="8"/>
      <color indexed="57"/>
      <name val="Arial"/>
      <family val="2"/>
    </font>
    <font>
      <b/>
      <sz val="10"/>
      <color indexed="10"/>
      <name val="Arial Narrow"/>
      <family val="2"/>
    </font>
    <font>
      <b/>
      <sz val="13"/>
      <color indexed="18"/>
      <name val="Times New Roman"/>
      <family val="1"/>
    </font>
    <font>
      <sz val="13"/>
      <name val="Arial"/>
      <family val="2"/>
    </font>
    <font>
      <sz val="10"/>
      <name val="Times New Roman"/>
      <family val="1"/>
    </font>
    <font>
      <sz val="13"/>
      <color indexed="18"/>
      <name val="Times New Roman"/>
      <family val="1"/>
    </font>
    <font>
      <b/>
      <sz val="12"/>
      <color indexed="62"/>
      <name val="Arial"/>
      <family val="2"/>
    </font>
    <font>
      <sz val="9"/>
      <color indexed="14"/>
      <name val="Arial"/>
      <family val="2"/>
    </font>
    <font>
      <sz val="9"/>
      <color indexed="53"/>
      <name val="Arial"/>
      <family val="2"/>
    </font>
    <font>
      <b/>
      <sz val="9"/>
      <color indexed="57"/>
      <name val="Arial"/>
      <family val="2"/>
    </font>
    <font>
      <b/>
      <sz val="9"/>
      <color indexed="10"/>
      <name val="Arial"/>
      <family val="2"/>
    </font>
    <font>
      <b/>
      <sz val="11"/>
      <color indexed="12"/>
      <name val="Arial"/>
      <family val="2"/>
    </font>
    <font>
      <b/>
      <sz val="13"/>
      <name val="Times New Roman"/>
      <family val="1"/>
    </font>
    <font>
      <sz val="9"/>
      <color indexed="16"/>
      <name val="Arial"/>
      <family val="2"/>
    </font>
    <font>
      <b/>
      <sz val="13"/>
      <color indexed="12"/>
      <name val="Times New Roman"/>
      <family val="1"/>
    </font>
    <font>
      <sz val="9"/>
      <color indexed="61"/>
      <name val="Arial"/>
      <family val="2"/>
    </font>
    <font>
      <b/>
      <sz val="13"/>
      <color indexed="14"/>
      <name val="Times New Roman"/>
      <family val="1"/>
    </font>
    <font>
      <sz val="24"/>
      <name val="Arial"/>
      <family val="2"/>
    </font>
    <font>
      <b/>
      <sz val="13"/>
      <color indexed="62"/>
      <name val="Times New Roman"/>
      <family val="1"/>
    </font>
    <font>
      <b/>
      <u/>
      <sz val="10"/>
      <color indexed="18"/>
      <name val="Arial"/>
      <family val="2"/>
    </font>
    <font>
      <sz val="9"/>
      <color indexed="10"/>
      <name val="Arial Narrow"/>
      <family val="2"/>
    </font>
    <font>
      <sz val="9"/>
      <color indexed="18"/>
      <name val="Arial"/>
      <family val="2"/>
    </font>
    <font>
      <sz val="9"/>
      <color indexed="48"/>
      <name val="Arial"/>
      <family val="2"/>
    </font>
    <font>
      <b/>
      <sz val="10"/>
      <color indexed="8"/>
      <name val="Arial"/>
      <family val="2"/>
    </font>
    <font>
      <sz val="9"/>
      <color indexed="17"/>
      <name val="Arial"/>
      <family val="2"/>
    </font>
    <font>
      <sz val="9"/>
      <color indexed="57"/>
      <name val="Arial"/>
      <family val="2"/>
    </font>
    <font>
      <sz val="9"/>
      <color indexed="12"/>
      <name val="Arial"/>
      <family val="2"/>
    </font>
    <font>
      <sz val="9"/>
      <color indexed="60"/>
      <name val="Arial"/>
      <family val="2"/>
    </font>
    <font>
      <sz val="9"/>
      <color indexed="49"/>
      <name val="Arial"/>
      <family val="2"/>
    </font>
    <font>
      <sz val="10"/>
      <name val="Arial"/>
      <family val="2"/>
    </font>
    <font>
      <sz val="9"/>
      <color indexed="21"/>
      <name val="Arial"/>
      <family val="2"/>
    </font>
    <font>
      <b/>
      <sz val="13"/>
      <color indexed="60"/>
      <name val="Times New Roman"/>
      <family val="1"/>
    </font>
    <font>
      <b/>
      <u/>
      <sz val="10"/>
      <color indexed="62"/>
      <name val="Arial"/>
      <family val="2"/>
    </font>
    <font>
      <sz val="9"/>
      <color indexed="52"/>
      <name val="Arial"/>
      <family val="2"/>
    </font>
    <font>
      <sz val="14"/>
      <color indexed="20"/>
      <name val="Times New Roman"/>
      <family val="1"/>
    </font>
    <font>
      <sz val="14"/>
      <name val="Times New Roman"/>
      <family val="1"/>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18"/>
      <name val="Arial"/>
      <family val="2"/>
    </font>
    <font>
      <sz val="16"/>
      <color indexed="53"/>
      <name val="Times New Roman"/>
      <family val="1"/>
    </font>
    <font>
      <sz val="12"/>
      <color indexed="53"/>
      <name val="Times New Roman"/>
      <family val="1"/>
    </font>
    <font>
      <b/>
      <sz val="18"/>
      <color indexed="53"/>
      <name val="Times New Roman"/>
      <family val="1"/>
    </font>
    <font>
      <sz val="10"/>
      <color indexed="12"/>
      <name val="Arial"/>
      <family val="2"/>
    </font>
    <font>
      <sz val="12"/>
      <name val="Arial"/>
      <family val="2"/>
    </font>
    <font>
      <sz val="12"/>
      <color indexed="14"/>
      <name val="Times New Roman"/>
      <family val="1"/>
    </font>
    <font>
      <sz val="10"/>
      <color indexed="8"/>
      <name val="Arial"/>
      <family val="2"/>
    </font>
    <font>
      <vertAlign val="superscript"/>
      <sz val="9"/>
      <color indexed="20"/>
      <name val="Arial"/>
      <family val="2"/>
    </font>
    <font>
      <sz val="9"/>
      <color indexed="20"/>
      <name val="Arial"/>
      <family val="2"/>
    </font>
    <font>
      <b/>
      <sz val="9"/>
      <color indexed="20"/>
      <name val="Arial"/>
      <family val="2"/>
    </font>
    <font>
      <sz val="10"/>
      <color indexed="8"/>
      <name val="Arial Narrow"/>
      <family val="2"/>
    </font>
    <font>
      <vertAlign val="superscript"/>
      <sz val="10"/>
      <name val="Arial"/>
      <family val="2"/>
    </font>
    <font>
      <vertAlign val="superscript"/>
      <sz val="9"/>
      <name val="Arial"/>
      <family val="2"/>
    </font>
    <font>
      <vertAlign val="superscript"/>
      <sz val="10"/>
      <color indexed="21"/>
      <name val="Arial"/>
      <family val="2"/>
    </font>
    <font>
      <b/>
      <sz val="9"/>
      <color indexed="60"/>
      <name val="Arial"/>
      <family val="2"/>
    </font>
    <font>
      <sz val="9"/>
      <color indexed="61"/>
      <name val="Arial"/>
    </font>
    <font>
      <vertAlign val="superscript"/>
      <sz val="9"/>
      <color indexed="6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5">
    <xf numFmtId="0" fontId="0" fillId="0" borderId="0"/>
    <xf numFmtId="0" fontId="127" fillId="2" borderId="0" applyNumberFormat="0" applyBorder="0" applyAlignment="0" applyProtection="0"/>
    <xf numFmtId="0" fontId="127" fillId="3" borderId="0" applyNumberFormat="0" applyBorder="0" applyAlignment="0" applyProtection="0"/>
    <xf numFmtId="0" fontId="127" fillId="4" borderId="0" applyNumberFormat="0" applyBorder="0" applyAlignment="0" applyProtection="0"/>
    <xf numFmtId="0" fontId="127" fillId="5" borderId="0" applyNumberFormat="0" applyBorder="0" applyAlignment="0" applyProtection="0"/>
    <xf numFmtId="0" fontId="127" fillId="6" borderId="0" applyNumberFormat="0" applyBorder="0" applyAlignment="0" applyProtection="0"/>
    <xf numFmtId="0" fontId="127" fillId="7" borderId="0" applyNumberFormat="0" applyBorder="0" applyAlignment="0" applyProtection="0"/>
    <xf numFmtId="0" fontId="127" fillId="8" borderId="0" applyNumberFormat="0" applyBorder="0" applyAlignment="0" applyProtection="0"/>
    <xf numFmtId="0" fontId="127" fillId="9" borderId="0" applyNumberFormat="0" applyBorder="0" applyAlignment="0" applyProtection="0"/>
    <xf numFmtId="0" fontId="127" fillId="10" borderId="0" applyNumberFormat="0" applyBorder="0" applyAlignment="0" applyProtection="0"/>
    <xf numFmtId="0" fontId="127" fillId="5" borderId="0" applyNumberFormat="0" applyBorder="0" applyAlignment="0" applyProtection="0"/>
    <xf numFmtId="0" fontId="127" fillId="8" borderId="0" applyNumberFormat="0" applyBorder="0" applyAlignment="0" applyProtection="0"/>
    <xf numFmtId="0" fontId="127" fillId="11" borderId="0" applyNumberFormat="0" applyBorder="0" applyAlignment="0" applyProtection="0"/>
    <xf numFmtId="0" fontId="128" fillId="12" borderId="0" applyNumberFormat="0" applyBorder="0" applyAlignment="0" applyProtection="0"/>
    <xf numFmtId="0" fontId="128" fillId="9" borderId="0" applyNumberFormat="0" applyBorder="0" applyAlignment="0" applyProtection="0"/>
    <xf numFmtId="0" fontId="128" fillId="10" borderId="0" applyNumberFormat="0" applyBorder="0" applyAlignment="0" applyProtection="0"/>
    <xf numFmtId="0" fontId="128" fillId="13" borderId="0" applyNumberFormat="0" applyBorder="0" applyAlignment="0" applyProtection="0"/>
    <xf numFmtId="0" fontId="128" fillId="14" borderId="0" applyNumberFormat="0" applyBorder="0" applyAlignment="0" applyProtection="0"/>
    <xf numFmtId="0" fontId="128" fillId="15" borderId="0" applyNumberFormat="0" applyBorder="0" applyAlignment="0" applyProtection="0"/>
    <xf numFmtId="0" fontId="128" fillId="16" borderId="0" applyNumberFormat="0" applyBorder="0" applyAlignment="0" applyProtection="0"/>
    <xf numFmtId="0" fontId="128" fillId="17" borderId="0" applyNumberFormat="0" applyBorder="0" applyAlignment="0" applyProtection="0"/>
    <xf numFmtId="0" fontId="128" fillId="18" borderId="0" applyNumberFormat="0" applyBorder="0" applyAlignment="0" applyProtection="0"/>
    <xf numFmtId="0" fontId="128" fillId="13" borderId="0" applyNumberFormat="0" applyBorder="0" applyAlignment="0" applyProtection="0"/>
    <xf numFmtId="0" fontId="128" fillId="14" borderId="0" applyNumberFormat="0" applyBorder="0" applyAlignment="0" applyProtection="0"/>
    <xf numFmtId="0" fontId="128" fillId="19" borderId="0" applyNumberFormat="0" applyBorder="0" applyAlignment="0" applyProtection="0"/>
    <xf numFmtId="0" fontId="129" fillId="3" borderId="0" applyNumberFormat="0" applyBorder="0" applyAlignment="0" applyProtection="0"/>
    <xf numFmtId="0" fontId="130" fillId="20" borderId="1" applyNumberFormat="0" applyAlignment="0" applyProtection="0"/>
    <xf numFmtId="0" fontId="131" fillId="21" borderId="2" applyNumberFormat="0" applyAlignment="0" applyProtection="0"/>
    <xf numFmtId="0" fontId="132" fillId="0" borderId="0" applyNumberFormat="0" applyFill="0" applyBorder="0" applyAlignment="0" applyProtection="0"/>
    <xf numFmtId="0" fontId="133" fillId="4" borderId="0" applyNumberFormat="0" applyBorder="0" applyAlignment="0" applyProtection="0"/>
    <xf numFmtId="0" fontId="134" fillId="0" borderId="3" applyNumberFormat="0" applyFill="0" applyAlignment="0" applyProtection="0"/>
    <xf numFmtId="0" fontId="135" fillId="0" borderId="4" applyNumberFormat="0" applyFill="0" applyAlignment="0" applyProtection="0"/>
    <xf numFmtId="0" fontId="136" fillId="0" borderId="5" applyNumberFormat="0" applyFill="0" applyAlignment="0" applyProtection="0"/>
    <xf numFmtId="0" fontId="136" fillId="0" borderId="0" applyNumberFormat="0" applyFill="0" applyBorder="0" applyAlignment="0" applyProtection="0"/>
    <xf numFmtId="0" fontId="4" fillId="0" borderId="0" applyNumberFormat="0" applyFill="0" applyBorder="0" applyAlignment="0" applyProtection="0">
      <alignment vertical="top"/>
      <protection locked="0"/>
    </xf>
    <xf numFmtId="0" fontId="137" fillId="7" borderId="1" applyNumberFormat="0" applyAlignment="0" applyProtection="0"/>
    <xf numFmtId="0" fontId="138" fillId="0" borderId="6" applyNumberFormat="0" applyFill="0" applyAlignment="0" applyProtection="0"/>
    <xf numFmtId="0" fontId="139" fillId="22" borderId="0" applyNumberFormat="0" applyBorder="0" applyAlignment="0" applyProtection="0"/>
    <xf numFmtId="0" fontId="151" fillId="0" borderId="0"/>
    <xf numFmtId="0" fontId="151" fillId="0" borderId="0"/>
    <xf numFmtId="0" fontId="1" fillId="23" borderId="7" applyNumberFormat="0" applyFont="0" applyAlignment="0" applyProtection="0"/>
    <xf numFmtId="0" fontId="140" fillId="20" borderId="8" applyNumberFormat="0" applyAlignment="0" applyProtection="0"/>
    <xf numFmtId="0" fontId="141" fillId="0" borderId="0" applyNumberFormat="0" applyFill="0" applyBorder="0" applyAlignment="0" applyProtection="0"/>
    <xf numFmtId="0" fontId="142" fillId="0" borderId="9" applyNumberFormat="0" applyFill="0" applyAlignment="0" applyProtection="0"/>
    <xf numFmtId="0" fontId="143" fillId="0" borderId="0" applyNumberFormat="0" applyFill="0" applyBorder="0" applyAlignment="0" applyProtection="0"/>
  </cellStyleXfs>
  <cellXfs count="2297">
    <xf numFmtId="0" fontId="0" fillId="0" borderId="0" xfId="0"/>
    <xf numFmtId="0" fontId="0" fillId="0" borderId="0" xfId="0" applyAlignment="1">
      <alignment horizontal="center"/>
    </xf>
    <xf numFmtId="0" fontId="0" fillId="0" borderId="0" xfId="0" applyAlignment="1"/>
    <xf numFmtId="0" fontId="0" fillId="0" borderId="10" xfId="0" applyBorder="1"/>
    <xf numFmtId="0" fontId="0" fillId="0" borderId="10" xfId="0" applyBorder="1" applyAlignment="1">
      <alignment horizontal="center"/>
    </xf>
    <xf numFmtId="0" fontId="2" fillId="0" borderId="0" xfId="0" applyFont="1"/>
    <xf numFmtId="0" fontId="3" fillId="0" borderId="0" xfId="0" applyFont="1"/>
    <xf numFmtId="0" fontId="0" fillId="0" borderId="0" xfId="0" applyBorder="1"/>
    <xf numFmtId="0" fontId="0" fillId="0" borderId="0" xfId="0" applyBorder="1" applyAlignment="1">
      <alignment horizontal="center"/>
    </xf>
    <xf numFmtId="0" fontId="0" fillId="0" borderId="0" xfId="0" applyAlignment="1">
      <alignment horizontal="right"/>
    </xf>
    <xf numFmtId="0" fontId="6" fillId="0" borderId="0" xfId="0" applyFont="1"/>
    <xf numFmtId="0" fontId="6" fillId="0" borderId="10" xfId="0" applyFont="1" applyBorder="1"/>
    <xf numFmtId="0" fontId="6" fillId="0" borderId="0" xfId="0" applyFont="1" applyBorder="1"/>
    <xf numFmtId="0" fontId="6" fillId="0" borderId="0" xfId="0" applyFont="1" applyAlignment="1">
      <alignment horizontal="center" vertical="center"/>
    </xf>
    <xf numFmtId="0" fontId="0" fillId="0" borderId="0" xfId="0" applyFill="1" applyBorder="1" applyAlignment="1">
      <alignment horizontal="right"/>
    </xf>
    <xf numFmtId="0" fontId="0" fillId="0" borderId="0" xfId="0" applyBorder="1" applyAlignment="1">
      <alignment horizontal="right"/>
    </xf>
    <xf numFmtId="0" fontId="0" fillId="0" borderId="0" xfId="0" quotePrefix="1"/>
    <xf numFmtId="0" fontId="3" fillId="0" borderId="10" xfId="0" applyFont="1" applyBorder="1"/>
    <xf numFmtId="2" fontId="0" fillId="0" borderId="0" xfId="0" applyNumberFormat="1"/>
    <xf numFmtId="0" fontId="0" fillId="0" borderId="0" xfId="0" applyBorder="1" applyAlignment="1">
      <alignment horizontal="left"/>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0" fillId="0" borderId="0" xfId="0" applyAlignment="1">
      <alignment vertical="top"/>
    </xf>
    <xf numFmtId="0" fontId="2" fillId="0" borderId="0" xfId="0" applyFont="1" applyBorder="1" applyAlignment="1">
      <alignment horizontal="center" vertical="top"/>
    </xf>
    <xf numFmtId="0" fontId="4" fillId="0" borderId="0" xfId="34" applyAlignment="1" applyProtection="1"/>
    <xf numFmtId="0" fontId="0" fillId="0" borderId="10" xfId="0" applyBorder="1" applyAlignment="1">
      <alignment horizontal="center" vertical="center"/>
    </xf>
    <xf numFmtId="0" fontId="0" fillId="0" borderId="11" xfId="0" applyBorder="1"/>
    <xf numFmtId="0" fontId="0" fillId="0" borderId="12" xfId="0" applyBorder="1"/>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Fill="1" applyBorder="1"/>
    <xf numFmtId="0" fontId="0" fillId="0" borderId="0" xfId="0" quotePrefix="1" applyBorder="1"/>
    <xf numFmtId="0" fontId="0" fillId="0" borderId="0" xfId="0" applyAlignment="1">
      <alignment horizontal="left" vertical="top"/>
    </xf>
    <xf numFmtId="0" fontId="2" fillId="0" borderId="10" xfId="0" applyFont="1" applyBorder="1" applyAlignment="1">
      <alignment horizontal="center" vertical="top" wrapText="1"/>
    </xf>
    <xf numFmtId="0" fontId="3" fillId="0" borderId="0" xfId="0" quotePrefix="1" applyFont="1"/>
    <xf numFmtId="0" fontId="3" fillId="0" borderId="0" xfId="0" applyFont="1" applyBorder="1"/>
    <xf numFmtId="0" fontId="3" fillId="0" borderId="0" xfId="0" applyFont="1" applyBorder="1" applyAlignment="1">
      <alignment horizontal="left" vertical="center"/>
    </xf>
    <xf numFmtId="0" fontId="2" fillId="0" borderId="10" xfId="0" applyFont="1" applyBorder="1" applyAlignment="1">
      <alignment horizontal="center" vertical="center"/>
    </xf>
    <xf numFmtId="0" fontId="3" fillId="0" borderId="0" xfId="0" applyFont="1" applyAlignment="1">
      <alignment horizontal="right"/>
    </xf>
    <xf numFmtId="0" fontId="0" fillId="0" borderId="0" xfId="0" applyBorder="1" applyAlignment="1">
      <alignment horizontal="center" vertical="center"/>
    </xf>
    <xf numFmtId="0" fontId="0" fillId="0" borderId="13" xfId="0" applyBorder="1" applyAlignment="1">
      <alignment horizontal="center" vertical="center"/>
    </xf>
    <xf numFmtId="0" fontId="2" fillId="0" borderId="0" xfId="0" applyFont="1" applyAlignment="1">
      <alignment horizontal="center" vertical="top"/>
    </xf>
    <xf numFmtId="0" fontId="0" fillId="0" borderId="14" xfId="0" applyBorder="1" applyAlignment="1">
      <alignment horizontal="center" vertical="center"/>
    </xf>
    <xf numFmtId="0" fontId="2" fillId="0" borderId="0" xfId="0" applyFont="1" applyAlignment="1">
      <alignment horizontal="center"/>
    </xf>
    <xf numFmtId="0" fontId="2" fillId="0" borderId="10" xfId="0" applyFont="1" applyBorder="1" applyAlignment="1">
      <alignment horizontal="center" vertical="top"/>
    </xf>
    <xf numFmtId="0" fontId="0" fillId="0" borderId="15" xfId="0" applyBorder="1" applyAlignment="1">
      <alignment horizontal="center" vertical="center"/>
    </xf>
    <xf numFmtId="49" fontId="2" fillId="0" borderId="0" xfId="0" applyNumberFormat="1" applyFont="1" applyAlignment="1">
      <alignment horizontal="left" vertical="top"/>
    </xf>
    <xf numFmtId="0" fontId="0" fillId="0" borderId="12" xfId="0" applyBorder="1" applyAlignment="1">
      <alignment horizontal="center"/>
    </xf>
    <xf numFmtId="0" fontId="0" fillId="0" borderId="16" xfId="0" applyBorder="1" applyAlignment="1">
      <alignment horizontal="center" vertical="center"/>
    </xf>
    <xf numFmtId="0" fontId="0" fillId="0" borderId="0" xfId="0" applyBorder="1" applyProtection="1">
      <protection locked="0"/>
    </xf>
    <xf numFmtId="0" fontId="0" fillId="0" borderId="0" xfId="0" applyProtection="1">
      <protection locked="0"/>
    </xf>
    <xf numFmtId="0" fontId="0" fillId="0" borderId="10" xfId="0" applyBorder="1" applyProtection="1">
      <protection locked="0"/>
    </xf>
    <xf numFmtId="0" fontId="0" fillId="0" borderId="0" xfId="0" applyAlignment="1" applyProtection="1">
      <alignment horizontal="right"/>
      <protection locked="0"/>
    </xf>
    <xf numFmtId="0" fontId="0" fillId="0" borderId="0" xfId="0" applyBorder="1" applyAlignment="1" applyProtection="1">
      <alignment horizontal="left"/>
      <protection locked="0"/>
    </xf>
    <xf numFmtId="0" fontId="0" fillId="0" borderId="0" xfId="0" applyBorder="1" applyAlignment="1" applyProtection="1">
      <alignment horizontal="center"/>
      <protection locked="0"/>
    </xf>
    <xf numFmtId="0" fontId="6" fillId="0" borderId="0" xfId="0" applyFont="1" applyProtection="1">
      <protection locked="0"/>
    </xf>
    <xf numFmtId="0" fontId="3" fillId="0" borderId="0" xfId="0" applyFont="1" applyProtection="1">
      <protection locked="0"/>
    </xf>
    <xf numFmtId="0" fontId="0" fillId="0" borderId="17" xfId="0" applyBorder="1"/>
    <xf numFmtId="0" fontId="0" fillId="0" borderId="18" xfId="0" applyBorder="1"/>
    <xf numFmtId="0" fontId="0" fillId="0" borderId="15" xfId="0" applyBorder="1"/>
    <xf numFmtId="1" fontId="3" fillId="0" borderId="0" xfId="0" applyNumberFormat="1" applyFont="1"/>
    <xf numFmtId="0" fontId="0" fillId="0" borderId="0" xfId="0"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8" fillId="0" borderId="0" xfId="0" applyFont="1"/>
    <xf numFmtId="0" fontId="6" fillId="0" borderId="0" xfId="0" applyFont="1" applyAlignment="1">
      <alignment horizontal="center"/>
    </xf>
    <xf numFmtId="0" fontId="0" fillId="0" borderId="17" xfId="0" applyBorder="1" applyAlignment="1">
      <alignment horizontal="center"/>
    </xf>
    <xf numFmtId="0" fontId="0" fillId="0" borderId="18" xfId="0" applyBorder="1" applyAlignment="1">
      <alignment horizontal="center"/>
    </xf>
    <xf numFmtId="0" fontId="2" fillId="0" borderId="0" xfId="0" applyFont="1" applyBorder="1" applyAlignment="1" applyProtection="1">
      <alignment horizontal="center"/>
      <protection locked="0"/>
    </xf>
    <xf numFmtId="0" fontId="0" fillId="0" borderId="0" xfId="0" applyBorder="1" applyAlignment="1" applyProtection="1">
      <alignment horizontal="center"/>
    </xf>
    <xf numFmtId="46" fontId="0" fillId="0" borderId="0" xfId="0" applyNumberFormat="1" applyProtection="1">
      <protection locked="0"/>
    </xf>
    <xf numFmtId="0" fontId="3" fillId="0" borderId="0" xfId="0" applyFont="1" applyBorder="1" applyAlignment="1">
      <alignment horizontal="center"/>
    </xf>
    <xf numFmtId="0" fontId="0" fillId="0" borderId="19" xfId="0" applyBorder="1" applyAlignment="1">
      <alignment horizontal="center" vertical="center"/>
    </xf>
    <xf numFmtId="0" fontId="0" fillId="0" borderId="20" xfId="0" applyBorder="1" applyAlignment="1">
      <alignment horizontal="center" vertical="center"/>
    </xf>
    <xf numFmtId="2" fontId="0" fillId="0" borderId="18" xfId="0" applyNumberForma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pplyProtection="1">
      <alignment horizontal="center" vertical="center"/>
      <protection locked="0"/>
    </xf>
    <xf numFmtId="0" fontId="0" fillId="0" borderId="0" xfId="0" applyAlignment="1">
      <alignment wrapText="1"/>
    </xf>
    <xf numFmtId="0" fontId="0" fillId="0" borderId="21" xfId="0" applyBorder="1"/>
    <xf numFmtId="0" fontId="0" fillId="0" borderId="11" xfId="0" applyBorder="1" applyAlignment="1">
      <alignment horizontal="center" vertical="center"/>
    </xf>
    <xf numFmtId="0" fontId="3" fillId="0" borderId="17" xfId="0" applyFont="1" applyBorder="1" applyAlignment="1">
      <alignment horizontal="center"/>
    </xf>
    <xf numFmtId="0" fontId="0" fillId="0" borderId="1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7" xfId="0" quotePrefix="1" applyBorder="1" applyAlignment="1">
      <alignment horizontal="center"/>
    </xf>
    <xf numFmtId="0" fontId="0" fillId="0" borderId="17" xfId="0" applyBorder="1" applyAlignment="1">
      <alignment horizontal="right"/>
    </xf>
    <xf numFmtId="0" fontId="0" fillId="0" borderId="17" xfId="0" applyBorder="1" applyAlignment="1" applyProtection="1">
      <alignment horizontal="center"/>
    </xf>
    <xf numFmtId="0" fontId="0" fillId="0" borderId="11" xfId="0" applyBorder="1" applyAlignment="1" applyProtection="1">
      <alignment horizontal="center" vertical="center"/>
      <protection locked="0"/>
    </xf>
    <xf numFmtId="0" fontId="3" fillId="0" borderId="0"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12" fillId="0" borderId="0" xfId="0" applyFont="1" applyBorder="1" applyAlignment="1">
      <alignment horizontal="right"/>
    </xf>
    <xf numFmtId="0" fontId="12" fillId="0" borderId="10" xfId="0" applyFont="1" applyBorder="1"/>
    <xf numFmtId="0" fontId="12" fillId="0" borderId="0" xfId="0" applyFont="1" applyAlignment="1">
      <alignment horizontal="right"/>
    </xf>
    <xf numFmtId="0" fontId="12" fillId="0" borderId="10" xfId="0" applyFont="1" applyBorder="1" applyAlignment="1">
      <alignment horizontal="right"/>
    </xf>
    <xf numFmtId="0" fontId="13" fillId="0" borderId="0" xfId="0" applyFont="1"/>
    <xf numFmtId="0" fontId="12" fillId="0" borderId="0" xfId="0" applyFont="1" applyAlignment="1">
      <alignment horizontal="left"/>
    </xf>
    <xf numFmtId="0" fontId="12" fillId="0" borderId="0" xfId="0" applyFont="1"/>
    <xf numFmtId="0" fontId="12" fillId="0" borderId="0" xfId="0" applyFont="1" applyBorder="1"/>
    <xf numFmtId="0" fontId="12" fillId="0" borderId="10" xfId="0" applyFont="1" applyBorder="1" applyAlignment="1" applyProtection="1">
      <alignment horizontal="right"/>
      <protection locked="0"/>
    </xf>
    <xf numFmtId="0" fontId="12" fillId="0" borderId="0" xfId="0" applyFont="1" applyAlignment="1" applyProtection="1">
      <alignment horizontal="right"/>
      <protection locked="0"/>
    </xf>
    <xf numFmtId="0" fontId="12" fillId="0" borderId="0" xfId="0" applyFont="1" applyProtection="1">
      <protection locked="0"/>
    </xf>
    <xf numFmtId="0" fontId="12" fillId="0" borderId="0" xfId="0" applyFont="1" applyAlignment="1">
      <alignment vertical="top"/>
    </xf>
    <xf numFmtId="0" fontId="12" fillId="0" borderId="0" xfId="0" applyFont="1" applyAlignment="1" applyProtection="1">
      <protection locked="0"/>
    </xf>
    <xf numFmtId="0" fontId="13" fillId="0" borderId="0" xfId="0" applyFont="1" applyProtection="1">
      <protection locked="0"/>
    </xf>
    <xf numFmtId="0" fontId="12" fillId="0" borderId="10" xfId="0" applyFont="1" applyBorder="1" applyAlignment="1">
      <alignment horizontal="right" vertical="top"/>
    </xf>
    <xf numFmtId="0" fontId="12" fillId="0" borderId="0" xfId="0" applyFont="1" applyAlignment="1">
      <alignment horizontal="right" vertical="top"/>
    </xf>
    <xf numFmtId="0" fontId="12" fillId="0" borderId="0" xfId="0" applyFont="1" applyBorder="1" applyAlignment="1" applyProtection="1">
      <alignment horizontal="right"/>
      <protection locked="0"/>
    </xf>
    <xf numFmtId="0" fontId="12" fillId="0" borderId="0" xfId="0" applyFont="1" applyAlignment="1">
      <alignment horizontal="left" vertical="top"/>
    </xf>
    <xf numFmtId="0" fontId="12" fillId="0" borderId="0" xfId="0" applyFont="1" applyBorder="1" applyAlignment="1">
      <alignment horizontal="right" vertical="top" wrapText="1"/>
    </xf>
    <xf numFmtId="0" fontId="12" fillId="0" borderId="0" xfId="0" applyFont="1" applyBorder="1" applyAlignment="1">
      <alignment horizontal="left"/>
    </xf>
    <xf numFmtId="0" fontId="12" fillId="0" borderId="0" xfId="0" applyFont="1" applyBorder="1" applyAlignment="1">
      <alignment horizontal="center" vertical="top" wrapText="1"/>
    </xf>
    <xf numFmtId="0" fontId="12" fillId="0" borderId="0" xfId="0" applyFont="1" applyBorder="1" applyAlignment="1">
      <alignment horizontal="right" vertical="top"/>
    </xf>
    <xf numFmtId="0" fontId="14" fillId="0" borderId="0" xfId="0" applyFont="1" applyBorder="1"/>
    <xf numFmtId="0" fontId="12" fillId="0" borderId="0" xfId="0" applyFont="1" applyAlignment="1"/>
    <xf numFmtId="0" fontId="13" fillId="0" borderId="0" xfId="0" applyFont="1" applyBorder="1" applyAlignment="1"/>
    <xf numFmtId="0" fontId="15" fillId="0" borderId="0" xfId="0" applyFont="1" applyBorder="1" applyAlignment="1">
      <alignment horizontal="center"/>
    </xf>
    <xf numFmtId="0" fontId="17" fillId="0" borderId="15" xfId="0" quotePrefix="1" applyFont="1" applyBorder="1" applyAlignment="1">
      <alignment horizontal="center" vertical="center"/>
    </xf>
    <xf numFmtId="0" fontId="17" fillId="0" borderId="13" xfId="0" quotePrefix="1" applyFont="1" applyBorder="1" applyAlignment="1">
      <alignment horizontal="center" vertical="center"/>
    </xf>
    <xf numFmtId="0" fontId="17" fillId="0" borderId="14" xfId="0" quotePrefix="1" applyFont="1" applyBorder="1" applyAlignment="1">
      <alignment horizontal="center" vertical="center"/>
    </xf>
    <xf numFmtId="0" fontId="17" fillId="0" borderId="15" xfId="0" quotePrefix="1" applyFont="1" applyFill="1" applyBorder="1" applyAlignment="1">
      <alignment horizontal="center" vertical="center"/>
    </xf>
    <xf numFmtId="0" fontId="17" fillId="0" borderId="14" xfId="0" quotePrefix="1" applyFont="1" applyFill="1" applyBorder="1" applyAlignment="1">
      <alignment horizontal="center" vertical="center"/>
    </xf>
    <xf numFmtId="0" fontId="17" fillId="0" borderId="16" xfId="0" quotePrefix="1" applyFont="1" applyFill="1" applyBorder="1" applyAlignment="1">
      <alignment horizontal="center" vertical="center"/>
    </xf>
    <xf numFmtId="0" fontId="15" fillId="0" borderId="13" xfId="0" applyFont="1" applyBorder="1" applyAlignment="1">
      <alignment horizontal="center"/>
    </xf>
    <xf numFmtId="0" fontId="15" fillId="0" borderId="14" xfId="0" applyFont="1" applyBorder="1" applyAlignment="1">
      <alignment horizontal="center"/>
    </xf>
    <xf numFmtId="0" fontId="15" fillId="0" borderId="10" xfId="0" applyFont="1" applyBorder="1" applyAlignment="1">
      <alignment horizontal="center"/>
    </xf>
    <xf numFmtId="0" fontId="15" fillId="0" borderId="20" xfId="0" applyFont="1" applyBorder="1" applyAlignment="1">
      <alignment horizontal="center"/>
    </xf>
    <xf numFmtId="0" fontId="15" fillId="0" borderId="19" xfId="0" applyFont="1" applyBorder="1" applyAlignment="1">
      <alignment horizontal="center"/>
    </xf>
    <xf numFmtId="0" fontId="15" fillId="0" borderId="0" xfId="0" applyFont="1"/>
    <xf numFmtId="0" fontId="17" fillId="0" borderId="16" xfId="0" quotePrefix="1" applyFont="1" applyBorder="1" applyAlignment="1">
      <alignment horizontal="center"/>
    </xf>
    <xf numFmtId="0" fontId="17" fillId="0" borderId="13" xfId="0" quotePrefix="1" applyFont="1" applyBorder="1" applyAlignment="1">
      <alignment horizontal="center"/>
    </xf>
    <xf numFmtId="0" fontId="17" fillId="0" borderId="14" xfId="0" quotePrefix="1" applyFont="1" applyBorder="1" applyAlignment="1">
      <alignment horizontal="center"/>
    </xf>
    <xf numFmtId="0" fontId="15" fillId="0" borderId="16" xfId="0" applyFont="1" applyBorder="1" applyAlignment="1">
      <alignment horizontal="center"/>
    </xf>
    <xf numFmtId="0" fontId="23" fillId="0" borderId="16" xfId="0" applyFont="1" applyBorder="1" applyAlignment="1">
      <alignment horizontal="center" vertical="center"/>
    </xf>
    <xf numFmtId="0" fontId="21" fillId="0" borderId="21" xfId="0" applyFont="1" applyBorder="1" applyAlignment="1">
      <alignment horizontal="center" vertical="top" wrapText="1"/>
    </xf>
    <xf numFmtId="0" fontId="26" fillId="0" borderId="0" xfId="0" applyFont="1"/>
    <xf numFmtId="0" fontId="17" fillId="0" borderId="15" xfId="0" quotePrefix="1" applyFont="1" applyBorder="1" applyAlignment="1">
      <alignment horizontal="center"/>
    </xf>
    <xf numFmtId="0" fontId="16" fillId="0" borderId="0" xfId="0" applyFont="1"/>
    <xf numFmtId="0" fontId="17" fillId="0" borderId="0" xfId="0" applyFont="1"/>
    <xf numFmtId="0" fontId="15" fillId="0" borderId="15" xfId="0" applyFont="1" applyBorder="1" applyAlignment="1">
      <alignment horizontal="center" vertical="center"/>
    </xf>
    <xf numFmtId="0" fontId="17" fillId="0" borderId="14" xfId="0" quotePrefix="1" applyFont="1" applyFill="1" applyBorder="1" applyAlignment="1">
      <alignment horizontal="center"/>
    </xf>
    <xf numFmtId="0" fontId="15" fillId="0" borderId="16" xfId="0" applyFont="1" applyBorder="1" applyAlignment="1">
      <alignment horizontal="center" vertical="center"/>
    </xf>
    <xf numFmtId="0" fontId="15" fillId="0" borderId="13" xfId="0" applyFont="1" applyBorder="1" applyAlignment="1">
      <alignment horizontal="center" vertical="center"/>
    </xf>
    <xf numFmtId="0" fontId="17" fillId="0" borderId="16" xfId="0" quotePrefix="1" applyFont="1" applyBorder="1" applyAlignment="1">
      <alignment horizontal="center" vertical="top" wrapText="1"/>
    </xf>
    <xf numFmtId="0" fontId="25" fillId="0" borderId="0" xfId="0" applyFont="1" applyBorder="1" applyAlignment="1">
      <alignment horizontal="center"/>
    </xf>
    <xf numFmtId="0" fontId="33" fillId="0" borderId="0" xfId="0" applyFont="1" applyBorder="1"/>
    <xf numFmtId="0" fontId="33" fillId="0" borderId="15" xfId="0" applyFont="1" applyBorder="1" applyAlignment="1">
      <alignment horizontal="center" vertical="center"/>
    </xf>
    <xf numFmtId="0" fontId="21" fillId="0" borderId="0" xfId="0" applyFont="1"/>
    <xf numFmtId="0" fontId="40" fillId="0" borderId="0" xfId="0" applyFont="1"/>
    <xf numFmtId="0" fontId="29" fillId="0" borderId="12" xfId="0" applyFont="1" applyBorder="1" applyAlignment="1">
      <alignment horizontal="left" vertical="center"/>
    </xf>
    <xf numFmtId="0" fontId="32" fillId="0" borderId="0" xfId="0" applyFont="1"/>
    <xf numFmtId="0" fontId="17" fillId="0" borderId="15" xfId="0" quotePrefix="1" applyFont="1" applyFill="1" applyBorder="1" applyAlignment="1">
      <alignment horizontal="center"/>
    </xf>
    <xf numFmtId="0" fontId="20" fillId="0" borderId="0" xfId="0" applyFont="1"/>
    <xf numFmtId="0" fontId="33" fillId="0" borderId="0" xfId="0" applyFont="1"/>
    <xf numFmtId="0" fontId="47" fillId="0" borderId="0" xfId="0" applyFont="1"/>
    <xf numFmtId="0" fontId="48" fillId="0" borderId="0" xfId="0" applyFont="1"/>
    <xf numFmtId="0" fontId="49" fillId="0" borderId="0" xfId="0" applyFont="1"/>
    <xf numFmtId="0" fontId="15" fillId="0" borderId="11" xfId="0" applyFont="1" applyBorder="1"/>
    <xf numFmtId="0" fontId="53" fillId="0" borderId="0" xfId="0" applyFont="1"/>
    <xf numFmtId="0" fontId="16"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20" xfId="0" applyFont="1" applyBorder="1" applyAlignment="1">
      <alignment horizontal="center" vertical="center"/>
    </xf>
    <xf numFmtId="0" fontId="32" fillId="0" borderId="17" xfId="0" applyFont="1" applyBorder="1" applyAlignment="1">
      <alignment vertical="center"/>
    </xf>
    <xf numFmtId="0" fontId="20" fillId="0" borderId="0" xfId="0" applyFont="1" applyProtection="1">
      <protection locked="0"/>
    </xf>
    <xf numFmtId="0" fontId="19" fillId="0" borderId="0" xfId="0" applyFont="1" applyBorder="1" applyAlignment="1" applyProtection="1">
      <alignment horizontal="center"/>
      <protection locked="0"/>
    </xf>
    <xf numFmtId="0" fontId="24" fillId="0" borderId="11" xfId="0" applyFont="1" applyBorder="1" applyAlignment="1" applyProtection="1">
      <alignment horizontal="center"/>
      <protection locked="0"/>
    </xf>
    <xf numFmtId="0" fontId="16" fillId="0" borderId="17" xfId="0" applyFont="1" applyBorder="1" applyAlignment="1">
      <alignment horizontal="center"/>
    </xf>
    <xf numFmtId="0" fontId="16" fillId="0" borderId="0" xfId="0" applyFont="1" applyProtection="1">
      <protection locked="0"/>
    </xf>
    <xf numFmtId="0" fontId="24" fillId="0" borderId="11" xfId="0" applyFont="1" applyBorder="1" applyAlignment="1">
      <alignment horizontal="center"/>
    </xf>
    <xf numFmtId="0" fontId="19" fillId="0" borderId="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34" fillId="0" borderId="0" xfId="0" applyFont="1" applyBorder="1" applyAlignment="1">
      <alignment horizontal="center"/>
    </xf>
    <xf numFmtId="0" fontId="34" fillId="0" borderId="11" xfId="0" applyFont="1" applyBorder="1" applyAlignment="1">
      <alignment horizontal="center"/>
    </xf>
    <xf numFmtId="0" fontId="28" fillId="0" borderId="11" xfId="0" applyFont="1" applyBorder="1" applyAlignment="1">
      <alignment horizontal="center"/>
    </xf>
    <xf numFmtId="0" fontId="25" fillId="0" borderId="17" xfId="0" applyFont="1" applyBorder="1" applyAlignment="1">
      <alignment horizontal="center"/>
    </xf>
    <xf numFmtId="0" fontId="45" fillId="0" borderId="0" xfId="0" applyFont="1" applyBorder="1"/>
    <xf numFmtId="0" fontId="34" fillId="0" borderId="17" xfId="0" applyFont="1" applyBorder="1" applyAlignment="1">
      <alignment horizontal="center"/>
    </xf>
    <xf numFmtId="0" fontId="59" fillId="0" borderId="0" xfId="0" applyFont="1" applyBorder="1"/>
    <xf numFmtId="0" fontId="60" fillId="0" borderId="17" xfId="0" applyFont="1" applyBorder="1" applyAlignment="1">
      <alignment horizontal="center"/>
    </xf>
    <xf numFmtId="0" fontId="22" fillId="0" borderId="0" xfId="0" applyFont="1" applyBorder="1" applyAlignment="1">
      <alignment vertical="top"/>
    </xf>
    <xf numFmtId="0" fontId="46" fillId="0" borderId="0" xfId="0" applyFont="1" applyBorder="1"/>
    <xf numFmtId="0" fontId="19" fillId="0" borderId="17" xfId="0" applyFont="1" applyBorder="1" applyAlignment="1">
      <alignment horizontal="center"/>
    </xf>
    <xf numFmtId="0" fontId="61" fillId="0" borderId="12" xfId="0" applyFont="1" applyBorder="1"/>
    <xf numFmtId="0" fontId="25" fillId="0" borderId="0" xfId="0" applyFont="1" applyBorder="1" applyAlignment="1" applyProtection="1">
      <alignment horizontal="center"/>
      <protection locked="0"/>
    </xf>
    <xf numFmtId="0" fontId="33" fillId="0" borderId="17" xfId="0" applyFont="1" applyBorder="1" applyAlignment="1" applyProtection="1">
      <alignment horizontal="center"/>
      <protection locked="0"/>
    </xf>
    <xf numFmtId="0" fontId="19" fillId="0" borderId="17" xfId="0" applyFont="1" applyBorder="1" applyAlignment="1" applyProtection="1">
      <alignment horizontal="center"/>
      <protection locked="0"/>
    </xf>
    <xf numFmtId="0" fontId="25" fillId="0" borderId="11" xfId="0" applyFont="1" applyBorder="1" applyAlignment="1">
      <alignment horizontal="center"/>
    </xf>
    <xf numFmtId="0" fontId="17" fillId="0" borderId="16" xfId="0" quotePrefix="1" applyFont="1" applyFill="1" applyBorder="1" applyAlignment="1">
      <alignment horizontal="center"/>
    </xf>
    <xf numFmtId="0" fontId="32" fillId="0" borderId="11" xfId="0" applyFont="1" applyBorder="1"/>
    <xf numFmtId="0" fontId="57" fillId="0" borderId="17" xfId="0" applyFont="1" applyBorder="1" applyAlignment="1" applyProtection="1">
      <alignment horizontal="center" vertical="center"/>
      <protection locked="0"/>
    </xf>
    <xf numFmtId="0" fontId="57" fillId="0" borderId="0"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7" xfId="0" applyFont="1" applyBorder="1" applyAlignment="1">
      <alignment horizontal="center" vertical="center"/>
    </xf>
    <xf numFmtId="0" fontId="17" fillId="0" borderId="16" xfId="0" quotePrefix="1" applyFont="1" applyBorder="1" applyAlignment="1">
      <alignment horizontal="center" vertical="center" wrapText="1"/>
    </xf>
    <xf numFmtId="0" fontId="17" fillId="0" borderId="13" xfId="0" quotePrefix="1" applyFont="1" applyBorder="1" applyAlignment="1">
      <alignment horizontal="center" vertical="center" wrapText="1"/>
    </xf>
    <xf numFmtId="0" fontId="17" fillId="0" borderId="18" xfId="0" quotePrefix="1" applyFont="1" applyBorder="1" applyAlignment="1">
      <alignment horizontal="center" vertical="center"/>
    </xf>
    <xf numFmtId="0" fontId="17" fillId="0" borderId="19" xfId="0" quotePrefix="1" applyFont="1" applyBorder="1" applyAlignment="1">
      <alignment horizontal="center" vertical="top" wrapText="1"/>
    </xf>
    <xf numFmtId="0" fontId="17" fillId="0" borderId="18" xfId="0" quotePrefix="1" applyFont="1" applyBorder="1" applyAlignment="1">
      <alignment horizontal="center" vertical="top" wrapText="1"/>
    </xf>
    <xf numFmtId="0" fontId="17" fillId="0" borderId="16" xfId="0" quotePrefix="1" applyFont="1" applyBorder="1" applyAlignment="1">
      <alignment horizontal="center" vertical="center"/>
    </xf>
    <xf numFmtId="0" fontId="17" fillId="0" borderId="19" xfId="0" quotePrefix="1" applyFont="1" applyBorder="1" applyAlignment="1">
      <alignment horizontal="center" vertical="center"/>
    </xf>
    <xf numFmtId="0" fontId="27" fillId="0" borderId="15" xfId="0" quotePrefix="1" applyFont="1" applyBorder="1" applyAlignment="1">
      <alignment horizontal="center" vertical="center"/>
    </xf>
    <xf numFmtId="0" fontId="27" fillId="0" borderId="16" xfId="0" quotePrefix="1" applyFont="1" applyBorder="1" applyAlignment="1">
      <alignment horizontal="center" vertical="center"/>
    </xf>
    <xf numFmtId="0" fontId="27" fillId="0" borderId="13" xfId="0" quotePrefix="1" applyFont="1" applyBorder="1" applyAlignment="1">
      <alignment horizontal="center" vertical="center"/>
    </xf>
    <xf numFmtId="0" fontId="32" fillId="0" borderId="17" xfId="0" quotePrefix="1" applyFont="1" applyBorder="1" applyAlignment="1">
      <alignment horizontal="center"/>
    </xf>
    <xf numFmtId="0" fontId="34" fillId="0" borderId="12" xfId="0" applyFont="1" applyBorder="1" applyAlignment="1">
      <alignment horizontal="left" vertical="center" wrapText="1"/>
    </xf>
    <xf numFmtId="0" fontId="34" fillId="0" borderId="12" xfId="0" applyFont="1" applyBorder="1" applyAlignment="1">
      <alignment horizontal="left" vertical="center"/>
    </xf>
    <xf numFmtId="0" fontId="58" fillId="0" borderId="15" xfId="0" applyFont="1" applyBorder="1" applyAlignment="1">
      <alignment horizontal="center" vertical="center"/>
    </xf>
    <xf numFmtId="0" fontId="58" fillId="0" borderId="16" xfId="0" applyFont="1" applyBorder="1" applyAlignment="1">
      <alignment horizontal="center" vertical="center"/>
    </xf>
    <xf numFmtId="0" fontId="58" fillId="0" borderId="13" xfId="0" applyFont="1" applyBorder="1" applyAlignment="1">
      <alignment horizontal="center" vertical="center"/>
    </xf>
    <xf numFmtId="0" fontId="58" fillId="0" borderId="14" xfId="0" applyFont="1" applyBorder="1" applyAlignment="1">
      <alignment horizontal="center" vertical="center"/>
    </xf>
    <xf numFmtId="0" fontId="10" fillId="0" borderId="16" xfId="0" applyFont="1" applyBorder="1" applyAlignment="1">
      <alignment horizontal="center" vertical="center"/>
    </xf>
    <xf numFmtId="0" fontId="16" fillId="0" borderId="12" xfId="0" applyFont="1" applyBorder="1" applyAlignment="1"/>
    <xf numFmtId="2" fontId="12" fillId="0" borderId="17" xfId="0" applyNumberFormat="1" applyFont="1" applyBorder="1" applyAlignment="1">
      <alignment horizontal="center"/>
    </xf>
    <xf numFmtId="0" fontId="17" fillId="0" borderId="13" xfId="0" quotePrefix="1" applyFont="1" applyFill="1" applyBorder="1" applyAlignment="1">
      <alignment horizontal="center" vertical="center"/>
    </xf>
    <xf numFmtId="1" fontId="17" fillId="0" borderId="16" xfId="0" quotePrefix="1" applyNumberFormat="1" applyFont="1" applyBorder="1" applyAlignment="1">
      <alignment horizontal="center"/>
    </xf>
    <xf numFmtId="0" fontId="19" fillId="0" borderId="12" xfId="0" applyFont="1" applyBorder="1" applyAlignment="1">
      <alignment horizontal="left" vertical="center"/>
    </xf>
    <xf numFmtId="0" fontId="19" fillId="0" borderId="12" xfId="0" applyFont="1" applyBorder="1" applyAlignment="1">
      <alignment horizontal="left" vertical="center" wrapText="1"/>
    </xf>
    <xf numFmtId="0" fontId="25" fillId="0" borderId="11" xfId="0" applyFont="1" applyBorder="1" applyAlignment="1" applyProtection="1">
      <alignment horizontal="center"/>
      <protection locked="0"/>
    </xf>
    <xf numFmtId="0" fontId="25" fillId="0" borderId="17" xfId="0" applyFont="1" applyBorder="1" applyAlignment="1" applyProtection="1">
      <alignment horizontal="left" vertical="center" wrapText="1"/>
      <protection locked="0"/>
    </xf>
    <xf numFmtId="0" fontId="25" fillId="0" borderId="17" xfId="0" applyFont="1" applyBorder="1" applyAlignment="1" applyProtection="1">
      <alignment horizontal="left" vertical="center"/>
      <protection locked="0"/>
    </xf>
    <xf numFmtId="0" fontId="28" fillId="0" borderId="16" xfId="0" applyFont="1" applyBorder="1" applyAlignment="1">
      <alignment horizontal="center" vertical="center"/>
    </xf>
    <xf numFmtId="0" fontId="12" fillId="0" borderId="17" xfId="0" applyFont="1" applyBorder="1"/>
    <xf numFmtId="0" fontId="12" fillId="0" borderId="18" xfId="0" applyFont="1" applyBorder="1"/>
    <xf numFmtId="0" fontId="11" fillId="0" borderId="0" xfId="0" applyFont="1" applyBorder="1" applyAlignment="1">
      <alignment horizontal="left"/>
    </xf>
    <xf numFmtId="0" fontId="11" fillId="0" borderId="11" xfId="0" applyFont="1" applyBorder="1" applyAlignment="1">
      <alignment horizontal="left"/>
    </xf>
    <xf numFmtId="0" fontId="12" fillId="0" borderId="17" xfId="0" applyFont="1" applyBorder="1" applyAlignment="1">
      <alignment horizontal="center" vertical="center"/>
    </xf>
    <xf numFmtId="0" fontId="73" fillId="0" borderId="0" xfId="0" applyFont="1"/>
    <xf numFmtId="0" fontId="73" fillId="0" borderId="0" xfId="0" quotePrefix="1" applyFont="1"/>
    <xf numFmtId="0" fontId="48" fillId="0" borderId="11" xfId="0" applyFont="1" applyBorder="1" applyAlignment="1">
      <alignment horizontal="center" vertical="center"/>
    </xf>
    <xf numFmtId="0" fontId="0" fillId="0" borderId="0" xfId="0" applyFill="1"/>
    <xf numFmtId="0" fontId="32" fillId="0" borderId="17" xfId="0" applyFont="1" applyFill="1" applyBorder="1" applyAlignment="1">
      <alignment horizontal="center" vertical="center"/>
    </xf>
    <xf numFmtId="0" fontId="0" fillId="0" borderId="0" xfId="0" applyAlignment="1">
      <alignment vertical="center"/>
    </xf>
    <xf numFmtId="0" fontId="19" fillId="0" borderId="0" xfId="0" applyFont="1" applyBorder="1" applyAlignment="1">
      <alignment vertical="center"/>
    </xf>
    <xf numFmtId="0" fontId="12" fillId="0" borderId="17" xfId="0" applyFont="1" applyBorder="1" applyProtection="1">
      <protection locked="0"/>
    </xf>
    <xf numFmtId="0" fontId="12" fillId="0" borderId="18" xfId="0" applyFont="1" applyBorder="1" applyProtection="1">
      <protection locked="0"/>
    </xf>
    <xf numFmtId="0" fontId="28" fillId="0" borderId="17" xfId="0" applyFont="1" applyBorder="1" applyAlignment="1" applyProtection="1">
      <alignment horizontal="left" vertical="top" wrapText="1"/>
      <protection locked="0"/>
    </xf>
    <xf numFmtId="0" fontId="28" fillId="0" borderId="17" xfId="0" applyFont="1" applyBorder="1" applyProtection="1">
      <protection locked="0"/>
    </xf>
    <xf numFmtId="0" fontId="23" fillId="0" borderId="17" xfId="0" applyFont="1" applyBorder="1"/>
    <xf numFmtId="0" fontId="9" fillId="0" borderId="11" xfId="0" applyFont="1" applyBorder="1" applyAlignment="1">
      <alignment horizontal="center"/>
    </xf>
    <xf numFmtId="0" fontId="17" fillId="0" borderId="0" xfId="0" applyFont="1" applyBorder="1" applyAlignment="1">
      <alignment vertical="top"/>
    </xf>
    <xf numFmtId="0" fontId="70" fillId="0" borderId="0" xfId="0" applyFont="1" applyBorder="1"/>
    <xf numFmtId="0" fontId="12" fillId="0" borderId="17" xfId="0" applyFont="1" applyBorder="1" applyAlignment="1">
      <alignment horizontal="center" vertical="top"/>
    </xf>
    <xf numFmtId="0" fontId="20" fillId="0" borderId="18" xfId="0" applyFont="1" applyBorder="1" applyAlignment="1">
      <alignment horizontal="center" vertical="center"/>
    </xf>
    <xf numFmtId="0" fontId="57" fillId="0" borderId="17" xfId="0" applyFont="1" applyBorder="1"/>
    <xf numFmtId="0" fontId="57" fillId="0" borderId="17" xfId="0" applyFont="1" applyBorder="1" applyAlignment="1" applyProtection="1">
      <alignment horizontal="left" vertical="top" wrapText="1"/>
      <protection locked="0"/>
    </xf>
    <xf numFmtId="0" fontId="9" fillId="0" borderId="0" xfId="0" applyFont="1" applyAlignment="1">
      <alignment horizontal="center" vertical="center"/>
    </xf>
    <xf numFmtId="0" fontId="12" fillId="0" borderId="22" xfId="0" applyFont="1" applyBorder="1" applyAlignment="1"/>
    <xf numFmtId="0" fontId="20" fillId="0" borderId="12" xfId="0" applyFont="1" applyBorder="1" applyAlignment="1">
      <alignment horizontal="left" vertical="center"/>
    </xf>
    <xf numFmtId="2" fontId="0" fillId="0" borderId="11" xfId="0" applyNumberFormat="1" applyBorder="1" applyAlignment="1">
      <alignment horizontal="center" vertical="center"/>
    </xf>
    <xf numFmtId="0" fontId="12" fillId="0" borderId="10" xfId="0" applyFont="1" applyBorder="1" applyAlignment="1">
      <alignment horizontal="center" vertical="top"/>
    </xf>
    <xf numFmtId="0" fontId="15" fillId="0" borderId="19" xfId="0" applyFont="1" applyBorder="1" applyAlignment="1">
      <alignment horizontal="center" vertical="center"/>
    </xf>
    <xf numFmtId="0" fontId="15" fillId="0" borderId="21"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0" xfId="0" applyFont="1" applyBorder="1" applyAlignment="1">
      <alignment horizontal="center" vertical="center" wrapText="1"/>
    </xf>
    <xf numFmtId="0" fontId="12" fillId="0" borderId="18" xfId="0" quotePrefix="1" applyFont="1" applyBorder="1" applyAlignment="1">
      <alignment horizontal="center" vertical="center"/>
    </xf>
    <xf numFmtId="0" fontId="17" fillId="0" borderId="10" xfId="0" quotePrefix="1" applyFont="1" applyBorder="1" applyAlignment="1">
      <alignment horizontal="center" vertical="center"/>
    </xf>
    <xf numFmtId="2" fontId="0" fillId="0" borderId="20" xfId="0" applyNumberFormat="1" applyBorder="1" applyAlignment="1">
      <alignment horizontal="center" vertical="center"/>
    </xf>
    <xf numFmtId="0" fontId="15" fillId="0" borderId="21" xfId="0" applyFont="1" applyBorder="1" applyAlignment="1">
      <alignment horizontal="center" vertical="center"/>
    </xf>
    <xf numFmtId="0" fontId="0" fillId="0" borderId="12" xfId="0" applyBorder="1" applyAlignment="1">
      <alignment horizontal="center" vertical="center"/>
    </xf>
    <xf numFmtId="2" fontId="0" fillId="0" borderId="11" xfId="0" applyNumberForma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6" fillId="0" borderId="17" xfId="0" applyFont="1" applyBorder="1" applyAlignment="1">
      <alignment horizontal="left" vertical="center"/>
    </xf>
    <xf numFmtId="0" fontId="16" fillId="0" borderId="17" xfId="0" applyFont="1" applyBorder="1" applyAlignment="1">
      <alignment horizontal="left" vertical="center" wrapText="1"/>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19" fillId="0" borderId="12" xfId="0" applyFont="1" applyBorder="1" applyAlignment="1">
      <alignment horizontal="center" vertical="center"/>
    </xf>
    <xf numFmtId="0" fontId="0" fillId="0" borderId="12" xfId="0" quotePrefix="1" applyBorder="1" applyAlignment="1">
      <alignment horizontal="center" vertical="center"/>
    </xf>
    <xf numFmtId="2" fontId="0" fillId="0" borderId="0" xfId="0" applyNumberFormat="1" applyBorder="1" applyAlignment="1" applyProtection="1">
      <alignment horizontal="center" vertical="center"/>
      <protection locked="0"/>
    </xf>
    <xf numFmtId="0" fontId="0" fillId="0" borderId="15" xfId="0" quotePrefix="1" applyBorder="1" applyAlignment="1">
      <alignment horizontal="center" vertical="center"/>
    </xf>
    <xf numFmtId="2" fontId="19" fillId="0" borderId="13" xfId="0" applyNumberFormat="1" applyFont="1" applyBorder="1" applyAlignment="1" applyProtection="1">
      <alignment horizontal="center" vertical="center"/>
    </xf>
    <xf numFmtId="2" fontId="19" fillId="0" borderId="14" xfId="0" applyNumberFormat="1" applyFont="1" applyBorder="1" applyAlignment="1" applyProtection="1">
      <alignment horizontal="center" vertical="center"/>
    </xf>
    <xf numFmtId="0" fontId="28" fillId="0" borderId="12"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2" fontId="28" fillId="0" borderId="13" xfId="0" applyNumberFormat="1" applyFont="1" applyBorder="1" applyAlignment="1">
      <alignment horizontal="center" vertical="center"/>
    </xf>
    <xf numFmtId="0" fontId="11" fillId="0" borderId="13" xfId="0" applyFont="1" applyBorder="1" applyAlignment="1">
      <alignment horizontal="left" vertical="center"/>
    </xf>
    <xf numFmtId="2" fontId="0" fillId="0" borderId="17" xfId="0" applyNumberFormat="1" applyBorder="1" applyAlignment="1">
      <alignment horizontal="center" vertical="center"/>
    </xf>
    <xf numFmtId="0" fontId="12" fillId="0" borderId="0" xfId="0" applyFont="1" applyBorder="1" applyAlignment="1">
      <alignment horizontal="left" vertical="top"/>
    </xf>
    <xf numFmtId="0" fontId="17" fillId="0" borderId="0" xfId="0" applyFont="1" applyFill="1" applyBorder="1" applyAlignment="1">
      <alignment horizontal="right"/>
    </xf>
    <xf numFmtId="0" fontId="12" fillId="0" borderId="0" xfId="0" applyFont="1" applyFill="1" applyBorder="1" applyAlignment="1">
      <alignment horizontal="right"/>
    </xf>
    <xf numFmtId="0" fontId="34" fillId="0" borderId="0" xfId="0" applyFont="1" applyBorder="1" applyAlignment="1">
      <alignment vertical="center"/>
    </xf>
    <xf numFmtId="0" fontId="32" fillId="0" borderId="0"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32" fillId="0" borderId="21" xfId="0" applyFont="1" applyBorder="1" applyAlignment="1">
      <alignment horizontal="center" vertical="center"/>
    </xf>
    <xf numFmtId="0" fontId="32" fillId="0" borderId="17" xfId="0" quotePrefix="1" applyFont="1" applyBorder="1" applyAlignment="1">
      <alignment horizontal="center" vertical="center"/>
    </xf>
    <xf numFmtId="0" fontId="32" fillId="0" borderId="17" xfId="0" applyFont="1" applyBorder="1" applyAlignment="1">
      <alignment horizontal="center" vertical="center"/>
    </xf>
    <xf numFmtId="0" fontId="12" fillId="0" borderId="0" xfId="0" applyFont="1" applyAlignment="1">
      <alignment horizontal="right" vertical="center"/>
    </xf>
    <xf numFmtId="0" fontId="17" fillId="0" borderId="14" xfId="0" quotePrefix="1" applyFont="1" applyBorder="1" applyAlignment="1">
      <alignment horizontal="center" vertical="center" wrapText="1"/>
    </xf>
    <xf numFmtId="0" fontId="0" fillId="0" borderId="21" xfId="0" applyBorder="1" applyAlignment="1">
      <alignment horizontal="center" vertical="center"/>
    </xf>
    <xf numFmtId="0" fontId="34" fillId="0" borderId="16" xfId="0" applyFont="1" applyBorder="1" applyAlignment="1">
      <alignment horizontal="center" vertical="center"/>
    </xf>
    <xf numFmtId="0" fontId="20" fillId="0" borderId="17" xfId="0" quotePrefix="1" applyFont="1" applyBorder="1" applyAlignment="1">
      <alignment horizontal="center" vertical="center"/>
    </xf>
    <xf numFmtId="0" fontId="20" fillId="0" borderId="12" xfId="0" applyFont="1" applyBorder="1" applyAlignment="1">
      <alignment horizontal="center" vertical="center"/>
    </xf>
    <xf numFmtId="0" fontId="20" fillId="0" borderId="19" xfId="0" applyFont="1" applyBorder="1" applyAlignment="1">
      <alignment horizontal="center" vertical="center"/>
    </xf>
    <xf numFmtId="0" fontId="2" fillId="0" borderId="11" xfId="0" applyFont="1" applyBorder="1" applyAlignment="1">
      <alignment horizontal="center" vertical="center"/>
    </xf>
    <xf numFmtId="0" fontId="0" fillId="0" borderId="18" xfId="0"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17" fillId="0" borderId="20" xfId="0" quotePrefix="1" applyFont="1" applyBorder="1" applyAlignment="1">
      <alignment horizontal="center" vertical="center"/>
    </xf>
    <xf numFmtId="0" fontId="0" fillId="0" borderId="23" xfId="0" applyBorder="1" applyAlignment="1">
      <alignment horizontal="center" vertical="center"/>
    </xf>
    <xf numFmtId="0" fontId="16" fillId="0" borderId="0" xfId="0" applyFont="1" applyBorder="1" applyAlignment="1">
      <alignment horizontal="center" vertical="top" wrapText="1"/>
    </xf>
    <xf numFmtId="0" fontId="33" fillId="0" borderId="10" xfId="0" applyFont="1" applyBorder="1" applyAlignment="1">
      <alignment horizontal="center" vertical="center"/>
    </xf>
    <xf numFmtId="0" fontId="0" fillId="0" borderId="22" xfId="0" applyBorder="1" applyAlignment="1">
      <alignment horizontal="center" vertical="center"/>
    </xf>
    <xf numFmtId="0" fontId="30" fillId="0" borderId="14" xfId="0" applyFont="1" applyBorder="1" applyAlignment="1">
      <alignment horizontal="center" vertical="center"/>
    </xf>
    <xf numFmtId="0" fontId="16" fillId="0" borderId="0" xfId="0" applyFont="1" applyBorder="1" applyAlignment="1">
      <alignment horizontal="center" vertical="top"/>
    </xf>
    <xf numFmtId="0" fontId="16" fillId="0" borderId="0" xfId="0" applyFont="1" applyAlignment="1">
      <alignment vertical="top"/>
    </xf>
    <xf numFmtId="0" fontId="20" fillId="0" borderId="16" xfId="0" applyFont="1" applyBorder="1" applyAlignment="1">
      <alignment horizontal="center" vertical="center"/>
    </xf>
    <xf numFmtId="0" fontId="20" fillId="0" borderId="17" xfId="0" applyFont="1" applyBorder="1" applyAlignment="1">
      <alignment vertical="center"/>
    </xf>
    <xf numFmtId="0" fontId="20" fillId="0" borderId="18" xfId="0" applyFont="1" applyBorder="1" applyAlignment="1">
      <alignment vertical="center"/>
    </xf>
    <xf numFmtId="0" fontId="74" fillId="0" borderId="0" xfId="0" quotePrefix="1" applyFont="1" applyAlignment="1">
      <alignment horizontal="center"/>
    </xf>
    <xf numFmtId="0" fontId="74" fillId="0" borderId="0" xfId="0" applyFont="1" applyAlignment="1">
      <alignment horizontal="center"/>
    </xf>
    <xf numFmtId="0" fontId="19" fillId="0" borderId="21" xfId="0" applyFont="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32" fillId="0" borderId="20" xfId="0" applyFont="1" applyBorder="1"/>
    <xf numFmtId="0" fontId="16" fillId="0" borderId="0" xfId="0" applyFont="1" applyAlignment="1">
      <alignment horizontal="left" vertical="top"/>
    </xf>
    <xf numFmtId="2" fontId="0" fillId="0" borderId="0" xfId="0" applyNumberFormat="1" applyBorder="1" applyAlignment="1">
      <alignment horizontal="center" vertical="center"/>
    </xf>
    <xf numFmtId="0" fontId="76" fillId="0" borderId="0" xfId="0" applyFont="1" applyAlignment="1">
      <alignment horizontal="right"/>
    </xf>
    <xf numFmtId="0" fontId="29" fillId="0" borderId="0" xfId="0" applyFont="1" applyAlignment="1"/>
    <xf numFmtId="0" fontId="40" fillId="0" borderId="0" xfId="0" applyFont="1" applyAlignment="1">
      <alignment horizontal="right"/>
    </xf>
    <xf numFmtId="0" fontId="77" fillId="0" borderId="0" xfId="0" applyFont="1" applyAlignment="1">
      <alignment horizontal="center" vertical="top"/>
    </xf>
    <xf numFmtId="0" fontId="78" fillId="0" borderId="0" xfId="0" applyFont="1" applyAlignment="1">
      <alignment horizontal="center"/>
    </xf>
    <xf numFmtId="0" fontId="79" fillId="0" borderId="0" xfId="0" applyFont="1" applyAlignment="1">
      <alignment horizontal="center"/>
    </xf>
    <xf numFmtId="0" fontId="84" fillId="0" borderId="0" xfId="0" applyFont="1" applyAlignment="1">
      <alignment horizontal="center" vertical="top"/>
    </xf>
    <xf numFmtId="0" fontId="85" fillId="0" borderId="0" xfId="0" applyFont="1" applyAlignment="1">
      <alignment vertical="top"/>
    </xf>
    <xf numFmtId="0" fontId="45" fillId="0" borderId="0" xfId="0" applyFont="1" applyAlignment="1"/>
    <xf numFmtId="0" fontId="85" fillId="0" borderId="0" xfId="0" applyFont="1" applyAlignment="1"/>
    <xf numFmtId="0" fontId="86" fillId="0" borderId="0" xfId="0" applyFont="1" applyAlignment="1">
      <alignment horizontal="center"/>
    </xf>
    <xf numFmtId="0" fontId="86" fillId="0" borderId="0" xfId="0" applyFont="1"/>
    <xf numFmtId="0" fontId="2" fillId="0" borderId="12" xfId="0" applyFont="1" applyBorder="1"/>
    <xf numFmtId="0" fontId="0" fillId="0" borderId="0" xfId="0" applyAlignment="1">
      <alignment horizontal="center" vertical="center"/>
    </xf>
    <xf numFmtId="0" fontId="15" fillId="0" borderId="0" xfId="0" applyFont="1" applyBorder="1" applyAlignment="1">
      <alignment horizontal="center" vertical="center"/>
    </xf>
    <xf numFmtId="0" fontId="15" fillId="0" borderId="23" xfId="0" applyFont="1" applyBorder="1" applyAlignment="1">
      <alignment horizontal="center" vertical="center"/>
    </xf>
    <xf numFmtId="0" fontId="15" fillId="0" borderId="11" xfId="0" applyFont="1" applyBorder="1" applyAlignment="1">
      <alignment horizontal="center" vertical="center"/>
    </xf>
    <xf numFmtId="0" fontId="20" fillId="0" borderId="17" xfId="0" applyFont="1" applyBorder="1" applyAlignment="1">
      <alignment horizontal="center" vertical="center"/>
    </xf>
    <xf numFmtId="0" fontId="0" fillId="0" borderId="0" xfId="0" applyAlignment="1" applyProtection="1">
      <alignment horizontal="left"/>
      <protection locked="0"/>
    </xf>
    <xf numFmtId="0" fontId="15" fillId="0" borderId="14" xfId="0" applyFont="1" applyBorder="1" applyAlignment="1">
      <alignment horizontal="center" vertical="center"/>
    </xf>
    <xf numFmtId="0" fontId="9" fillId="0" borderId="0" xfId="0" applyFont="1" applyBorder="1" applyAlignment="1">
      <alignment horizontal="center" vertical="center"/>
    </xf>
    <xf numFmtId="0" fontId="19" fillId="0" borderId="0" xfId="0" applyFont="1" applyBorder="1" applyAlignment="1">
      <alignment horizontal="center" vertical="center"/>
    </xf>
    <xf numFmtId="164" fontId="0" fillId="0" borderId="11" xfId="0" applyNumberFormat="1" applyBorder="1" applyAlignment="1">
      <alignment horizontal="center" vertical="center"/>
    </xf>
    <xf numFmtId="0" fontId="9" fillId="0" borderId="12" xfId="0" applyFont="1" applyBorder="1" applyAlignment="1">
      <alignment horizontal="center" vertical="center"/>
    </xf>
    <xf numFmtId="0" fontId="28" fillId="0" borderId="11" xfId="0" applyFont="1" applyBorder="1" applyAlignment="1">
      <alignment horizontal="center" vertical="center"/>
    </xf>
    <xf numFmtId="0" fontId="16" fillId="0" borderId="21" xfId="0" applyFont="1" applyBorder="1" applyAlignment="1">
      <alignment horizontal="center" vertical="center"/>
    </xf>
    <xf numFmtId="0" fontId="16" fillId="0" borderId="18" xfId="0" applyFont="1" applyBorder="1" applyAlignment="1">
      <alignment horizontal="center" vertical="center"/>
    </xf>
    <xf numFmtId="0" fontId="19" fillId="0" borderId="17" xfId="0" applyFont="1" applyBorder="1" applyAlignment="1">
      <alignment horizontal="left" vertical="center" wrapText="1"/>
    </xf>
    <xf numFmtId="0" fontId="19" fillId="0" borderId="17" xfId="0" applyFont="1" applyBorder="1" applyAlignment="1">
      <alignment horizontal="left" vertical="center"/>
    </xf>
    <xf numFmtId="0" fontId="88" fillId="0" borderId="0" xfId="0" applyFont="1" applyAlignment="1">
      <alignment horizontal="center" vertical="top"/>
    </xf>
    <xf numFmtId="2" fontId="19" fillId="0" borderId="0" xfId="0" applyNumberFormat="1" applyFont="1" applyBorder="1" applyAlignment="1">
      <alignment horizontal="center" vertical="center"/>
    </xf>
    <xf numFmtId="0" fontId="25" fillId="0" borderId="0" xfId="0" applyFont="1" applyBorder="1" applyAlignment="1" applyProtection="1">
      <alignment horizontal="center" vertical="center"/>
      <protection locked="0"/>
    </xf>
    <xf numFmtId="0" fontId="25" fillId="0" borderId="11" xfId="0" applyFont="1" applyBorder="1" applyAlignment="1">
      <alignment horizontal="center" vertical="center"/>
    </xf>
    <xf numFmtId="2" fontId="25" fillId="0" borderId="11" xfId="0" applyNumberFormat="1" applyFont="1" applyBorder="1" applyAlignment="1">
      <alignment horizontal="center" vertical="center"/>
    </xf>
    <xf numFmtId="2" fontId="0" fillId="0" borderId="10" xfId="0" applyNumberFormat="1" applyBorder="1" applyAlignment="1">
      <alignment horizontal="center" vertical="center"/>
    </xf>
    <xf numFmtId="0" fontId="34" fillId="0" borderId="13" xfId="0" applyFont="1" applyBorder="1" applyAlignment="1" applyProtection="1">
      <alignment horizontal="center" vertical="center"/>
      <protection locked="0"/>
    </xf>
    <xf numFmtId="2" fontId="34" fillId="0" borderId="14" xfId="0" applyNumberFormat="1" applyFont="1" applyBorder="1" applyAlignment="1">
      <alignment horizontal="center" vertical="center"/>
    </xf>
    <xf numFmtId="0" fontId="36" fillId="0" borderId="16" xfId="0" quotePrefix="1" applyFont="1" applyBorder="1" applyAlignment="1">
      <alignment horizontal="center" vertical="center"/>
    </xf>
    <xf numFmtId="0" fontId="36" fillId="0" borderId="13" xfId="0" quotePrefix="1" applyFont="1" applyBorder="1" applyAlignment="1">
      <alignment horizontal="center" vertical="center"/>
    </xf>
    <xf numFmtId="2" fontId="36" fillId="0" borderId="16" xfId="0" quotePrefix="1" applyNumberFormat="1" applyFont="1" applyBorder="1" applyAlignment="1">
      <alignment horizontal="center" vertical="center"/>
    </xf>
    <xf numFmtId="0" fontId="36" fillId="0" borderId="15" xfId="0" quotePrefix="1" applyFont="1" applyBorder="1" applyAlignment="1">
      <alignment horizontal="center" vertical="center"/>
    </xf>
    <xf numFmtId="0" fontId="36" fillId="0" borderId="18" xfId="0" quotePrefix="1" applyFont="1" applyBorder="1" applyAlignment="1">
      <alignment horizontal="center" vertical="center"/>
    </xf>
    <xf numFmtId="0" fontId="36" fillId="0" borderId="14" xfId="0" quotePrefix="1" applyFont="1" applyBorder="1" applyAlignment="1">
      <alignment horizontal="center" vertical="center"/>
    </xf>
    <xf numFmtId="0" fontId="19" fillId="0" borderId="17" xfId="0" applyFont="1" applyBorder="1" applyAlignment="1" applyProtection="1">
      <alignment vertical="center"/>
      <protection locked="0"/>
    </xf>
    <xf numFmtId="2" fontId="19" fillId="0" borderId="17" xfId="0" applyNumberFormat="1" applyFont="1" applyBorder="1" applyAlignment="1">
      <alignment horizontal="center" vertical="center"/>
    </xf>
    <xf numFmtId="0" fontId="19" fillId="0" borderId="12" xfId="0" applyFont="1" applyBorder="1" applyAlignment="1" applyProtection="1">
      <alignment horizontal="center" vertical="center"/>
      <protection locked="0"/>
    </xf>
    <xf numFmtId="0" fontId="19" fillId="0" borderId="11" xfId="0" applyFont="1" applyBorder="1" applyAlignment="1">
      <alignment horizontal="center" vertical="center"/>
    </xf>
    <xf numFmtId="0" fontId="32" fillId="0" borderId="17" xfId="0" applyFont="1" applyBorder="1" applyAlignment="1" applyProtection="1">
      <alignment vertical="center" shrinkToFit="1"/>
      <protection locked="0"/>
    </xf>
    <xf numFmtId="0" fontId="3" fillId="0" borderId="0" xfId="0" applyFont="1" applyBorder="1" applyAlignment="1">
      <alignment horizontal="center" vertical="center"/>
    </xf>
    <xf numFmtId="2" fontId="3" fillId="0" borderId="17" xfId="0" applyNumberFormat="1"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lignment horizontal="center" vertical="center"/>
    </xf>
    <xf numFmtId="0" fontId="32" fillId="0" borderId="17" xfId="0" applyFont="1" applyBorder="1" applyAlignment="1" applyProtection="1">
      <alignment vertical="center"/>
      <protection locked="0"/>
    </xf>
    <xf numFmtId="1" fontId="3" fillId="0" borderId="0" xfId="0" applyNumberFormat="1" applyFont="1" applyBorder="1" applyAlignment="1">
      <alignment horizontal="center" vertical="center"/>
    </xf>
    <xf numFmtId="0" fontId="19" fillId="0" borderId="17" xfId="0" applyFont="1" applyBorder="1" applyAlignment="1">
      <alignment vertical="center"/>
    </xf>
    <xf numFmtId="0" fontId="32" fillId="0" borderId="18" xfId="0" applyFont="1" applyBorder="1" applyAlignment="1">
      <alignment vertical="center"/>
    </xf>
    <xf numFmtId="0" fontId="3" fillId="0" borderId="10" xfId="0" applyFont="1" applyBorder="1" applyAlignment="1">
      <alignment horizontal="center" vertical="center"/>
    </xf>
    <xf numFmtId="0" fontId="3" fillId="0" borderId="10" xfId="0" applyFont="1" applyBorder="1" applyAlignment="1" applyProtection="1">
      <alignment horizontal="center" vertical="center"/>
      <protection locked="0"/>
    </xf>
    <xf numFmtId="2" fontId="3" fillId="0" borderId="18" xfId="0" applyNumberFormat="1" applyFont="1" applyBorder="1" applyAlignment="1">
      <alignment horizontal="center" vertical="center"/>
    </xf>
    <xf numFmtId="0" fontId="3" fillId="0" borderId="19" xfId="0" applyFont="1" applyBorder="1" applyAlignment="1" applyProtection="1">
      <alignment horizontal="center" vertical="center"/>
      <protection locked="0"/>
    </xf>
    <xf numFmtId="0" fontId="24" fillId="0" borderId="13" xfId="0" applyFont="1" applyBorder="1" applyAlignment="1">
      <alignment horizontal="center" vertical="center"/>
    </xf>
    <xf numFmtId="2" fontId="24" fillId="0" borderId="16" xfId="0" applyNumberFormat="1" applyFont="1" applyBorder="1" applyAlignment="1">
      <alignment horizontal="center" vertical="center"/>
    </xf>
    <xf numFmtId="2" fontId="24" fillId="0" borderId="18" xfId="0" applyNumberFormat="1" applyFont="1" applyBorder="1" applyAlignment="1">
      <alignment horizontal="center" vertical="center"/>
    </xf>
    <xf numFmtId="0" fontId="24" fillId="0" borderId="14" xfId="0" applyFont="1" applyBorder="1" applyAlignment="1">
      <alignment horizontal="center" vertical="center"/>
    </xf>
    <xf numFmtId="0" fontId="57" fillId="0" borderId="17" xfId="0" applyFont="1" applyBorder="1" applyAlignment="1" applyProtection="1">
      <alignment vertical="center"/>
      <protection locked="0"/>
    </xf>
    <xf numFmtId="0" fontId="57" fillId="0" borderId="23" xfId="0" applyFont="1" applyBorder="1" applyAlignment="1" applyProtection="1">
      <alignment horizontal="center" vertical="center"/>
      <protection locked="0"/>
    </xf>
    <xf numFmtId="0" fontId="57" fillId="0" borderId="21" xfId="0" applyFont="1" applyBorder="1" applyAlignment="1" applyProtection="1">
      <alignment horizontal="center" vertical="center"/>
      <protection locked="0"/>
    </xf>
    <xf numFmtId="0" fontId="57" fillId="0" borderId="22" xfId="0" applyFont="1" applyBorder="1" applyAlignment="1" applyProtection="1">
      <alignment horizontal="center" vertical="center"/>
      <protection locked="0"/>
    </xf>
    <xf numFmtId="0" fontId="29" fillId="0" borderId="17" xfId="0" applyFont="1" applyBorder="1" applyAlignment="1">
      <alignment vertical="center"/>
    </xf>
    <xf numFmtId="0" fontId="3" fillId="0" borderId="17" xfId="0" applyFont="1" applyBorder="1" applyAlignment="1">
      <alignment horizontal="center" vertical="center"/>
    </xf>
    <xf numFmtId="0" fontId="3" fillId="0" borderId="17"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lignment horizontal="center" vertical="center"/>
    </xf>
    <xf numFmtId="0" fontId="29" fillId="0" borderId="17"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13"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19" fillId="0" borderId="12" xfId="0" applyFont="1" applyBorder="1" applyAlignment="1">
      <alignment vertical="center"/>
    </xf>
    <xf numFmtId="0" fontId="18" fillId="0" borderId="0" xfId="0" applyFont="1"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27" fillId="0" borderId="12" xfId="0" quotePrefix="1" applyFont="1" applyBorder="1" applyAlignment="1">
      <alignment horizontal="center" vertical="center"/>
    </xf>
    <xf numFmtId="0" fontId="28" fillId="0" borderId="0" xfId="0" applyFont="1" applyBorder="1" applyAlignment="1">
      <alignment vertical="center"/>
    </xf>
    <xf numFmtId="0" fontId="28" fillId="0" borderId="17" xfId="0" applyFont="1" applyBorder="1" applyAlignment="1">
      <alignment horizontal="center" vertical="center"/>
    </xf>
    <xf numFmtId="0" fontId="28" fillId="0" borderId="0" xfId="0" applyFont="1" applyBorder="1" applyAlignment="1">
      <alignment horizontal="center" vertical="center"/>
    </xf>
    <xf numFmtId="0" fontId="48" fillId="0" borderId="0" xfId="0" applyFont="1" applyBorder="1" applyAlignment="1">
      <alignment vertical="center"/>
    </xf>
    <xf numFmtId="0" fontId="2" fillId="0" borderId="0" xfId="0" applyFont="1" applyBorder="1" applyAlignment="1" applyProtection="1">
      <alignment horizontal="center" vertical="center"/>
      <protection locked="0"/>
    </xf>
    <xf numFmtId="0" fontId="27" fillId="0" borderId="12" xfId="0" applyFont="1" applyBorder="1" applyAlignment="1">
      <alignment vertical="center"/>
    </xf>
    <xf numFmtId="164" fontId="58" fillId="0" borderId="11" xfId="0" applyNumberFormat="1" applyFont="1" applyBorder="1" applyAlignment="1">
      <alignment horizontal="center" vertical="center"/>
    </xf>
    <xf numFmtId="0" fontId="27" fillId="0" borderId="12" xfId="0" quotePrefix="1" applyFont="1" applyBorder="1" applyAlignment="1">
      <alignment vertical="center"/>
    </xf>
    <xf numFmtId="0" fontId="19" fillId="0" borderId="24" xfId="0" applyFont="1" applyFill="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17" fillId="0" borderId="12" xfId="0" quotePrefix="1" applyFont="1" applyBorder="1" applyAlignment="1">
      <alignment horizontal="center" vertical="center"/>
    </xf>
    <xf numFmtId="164" fontId="0" fillId="0" borderId="11" xfId="0" applyNumberFormat="1" applyBorder="1" applyAlignment="1" applyProtection="1">
      <alignment horizontal="center" vertical="center"/>
      <protection locked="0"/>
    </xf>
    <xf numFmtId="164" fontId="41" fillId="0" borderId="11" xfId="0" applyNumberFormat="1" applyFont="1" applyBorder="1" applyAlignment="1" applyProtection="1">
      <alignment horizontal="center" vertical="center"/>
      <protection locked="0"/>
    </xf>
    <xf numFmtId="164" fontId="3" fillId="0" borderId="11" xfId="0" applyNumberFormat="1" applyFont="1" applyBorder="1" applyAlignment="1" applyProtection="1">
      <alignment horizontal="center" vertical="center"/>
      <protection locked="0"/>
    </xf>
    <xf numFmtId="0" fontId="17" fillId="0" borderId="12" xfId="0" applyFont="1" applyBorder="1" applyAlignment="1">
      <alignment vertical="center"/>
    </xf>
    <xf numFmtId="164" fontId="19" fillId="0" borderId="11" xfId="0" applyNumberFormat="1" applyFont="1" applyBorder="1" applyAlignment="1">
      <alignment horizontal="center" vertical="center"/>
    </xf>
    <xf numFmtId="164" fontId="68" fillId="0" borderId="11" xfId="0" applyNumberFormat="1" applyFont="1" applyBorder="1" applyAlignment="1">
      <alignment horizontal="center" vertical="center"/>
    </xf>
    <xf numFmtId="0" fontId="28" fillId="0" borderId="12" xfId="0" applyFont="1" applyBorder="1" applyAlignment="1">
      <alignment vertical="center"/>
    </xf>
    <xf numFmtId="0" fontId="16" fillId="0" borderId="0" xfId="0" applyFont="1" applyBorder="1" applyAlignment="1">
      <alignment vertical="center"/>
    </xf>
    <xf numFmtId="164" fontId="0" fillId="0" borderId="17" xfId="0" applyNumberFormat="1" applyBorder="1" applyAlignment="1">
      <alignment horizontal="center" vertical="center"/>
    </xf>
    <xf numFmtId="0" fontId="17" fillId="0" borderId="12" xfId="0" quotePrefix="1" applyFont="1" applyBorder="1" applyAlignment="1">
      <alignment vertical="center"/>
    </xf>
    <xf numFmtId="0" fontId="26" fillId="0" borderId="12" xfId="0" applyFont="1" applyBorder="1" applyAlignment="1">
      <alignment vertical="center"/>
    </xf>
    <xf numFmtId="0" fontId="23" fillId="0" borderId="0" xfId="0" applyFont="1" applyBorder="1" applyAlignment="1">
      <alignment vertical="center"/>
    </xf>
    <xf numFmtId="0" fontId="41" fillId="0" borderId="17" xfId="0" applyFont="1" applyBorder="1" applyAlignment="1">
      <alignment horizontal="center" vertical="center"/>
    </xf>
    <xf numFmtId="0" fontId="41" fillId="0" borderId="0" xfId="0" applyFont="1" applyBorder="1" applyAlignment="1">
      <alignment horizontal="center" vertical="center"/>
    </xf>
    <xf numFmtId="0" fontId="15" fillId="0" borderId="0" xfId="0" applyFont="1" applyBorder="1" applyAlignment="1">
      <alignment vertical="center"/>
    </xf>
    <xf numFmtId="0" fontId="23" fillId="0" borderId="17" xfId="0" applyFont="1" applyBorder="1" applyAlignment="1">
      <alignment horizontal="center" vertical="center"/>
    </xf>
    <xf numFmtId="0" fontId="3" fillId="0" borderId="0" xfId="0" applyFont="1" applyBorder="1" applyAlignment="1">
      <alignment vertical="center"/>
    </xf>
    <xf numFmtId="0" fontId="27" fillId="0" borderId="13" xfId="0" quotePrefix="1" applyFont="1" applyFill="1" applyBorder="1" applyAlignment="1">
      <alignment horizontal="center" vertical="center"/>
    </xf>
    <xf numFmtId="0" fontId="29" fillId="0" borderId="18" xfId="0" applyFont="1" applyBorder="1" applyAlignment="1" applyProtection="1">
      <alignment vertical="center"/>
      <protection locked="0"/>
    </xf>
    <xf numFmtId="0" fontId="3" fillId="0" borderId="18"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16" fillId="0" borderId="12" xfId="0" applyFont="1" applyBorder="1" applyAlignment="1">
      <alignment vertical="top" wrapText="1"/>
    </xf>
    <xf numFmtId="0" fontId="15" fillId="0" borderId="20" xfId="0" applyFont="1" applyBorder="1" applyAlignment="1">
      <alignment horizontal="center" vertical="center" wrapText="1"/>
    </xf>
    <xf numFmtId="0" fontId="15" fillId="0" borderId="22" xfId="0" applyFont="1" applyBorder="1" applyAlignment="1">
      <alignment horizontal="center" vertical="center"/>
    </xf>
    <xf numFmtId="0" fontId="15" fillId="0" borderId="12" xfId="0" applyFont="1" applyBorder="1" applyAlignment="1">
      <alignment horizontal="center" vertical="center"/>
    </xf>
    <xf numFmtId="0" fontId="20" fillId="0" borderId="0" xfId="0" applyFont="1" applyBorder="1" applyAlignment="1">
      <alignment horizontal="center" vertical="center"/>
    </xf>
    <xf numFmtId="0" fontId="27" fillId="0" borderId="14" xfId="0" quotePrefix="1" applyFont="1" applyBorder="1" applyAlignment="1">
      <alignment horizontal="center" vertical="center"/>
    </xf>
    <xf numFmtId="0" fontId="34" fillId="0" borderId="0"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5" fillId="0" borderId="18" xfId="0" applyFont="1" applyBorder="1" applyAlignment="1">
      <alignment horizontal="center" vertical="center"/>
    </xf>
    <xf numFmtId="0" fontId="12" fillId="0" borderId="21" xfId="0" applyFont="1" applyBorder="1" applyAlignment="1">
      <alignment horizontal="center" vertical="center"/>
    </xf>
    <xf numFmtId="0" fontId="12" fillId="0" borderId="18" xfId="0" applyFont="1" applyBorder="1" applyAlignment="1">
      <alignment horizontal="center" vertical="center"/>
    </xf>
    <xf numFmtId="0" fontId="15" fillId="0" borderId="20" xfId="0" applyFont="1" applyBorder="1" applyAlignment="1">
      <alignment horizontal="center" vertical="center"/>
    </xf>
    <xf numFmtId="0" fontId="16" fillId="0" borderId="22" xfId="0" applyFont="1" applyBorder="1" applyAlignment="1">
      <alignment horizontal="center" vertical="center"/>
    </xf>
    <xf numFmtId="0" fontId="23" fillId="0" borderId="14" xfId="0" applyFont="1" applyBorder="1" applyAlignment="1">
      <alignment horizontal="center" vertical="center"/>
    </xf>
    <xf numFmtId="0" fontId="10" fillId="0" borderId="19" xfId="0" applyFont="1" applyBorder="1" applyAlignment="1">
      <alignment horizontal="center" vertical="center"/>
    </xf>
    <xf numFmtId="0" fontId="32" fillId="0" borderId="0" xfId="0" applyFont="1" applyBorder="1" applyAlignment="1">
      <alignment horizontal="center" vertical="center"/>
    </xf>
    <xf numFmtId="0" fontId="16" fillId="0" borderId="23" xfId="0" applyFont="1" applyBorder="1" applyAlignment="1">
      <alignment horizontal="center" vertical="center"/>
    </xf>
    <xf numFmtId="0" fontId="28" fillId="0" borderId="20" xfId="0" applyFont="1" applyBorder="1" applyAlignment="1">
      <alignment horizontal="center" vertical="center"/>
    </xf>
    <xf numFmtId="0" fontId="16" fillId="0" borderId="22" xfId="0" applyFont="1" applyBorder="1" applyAlignment="1">
      <alignment horizontal="center" vertical="top" wrapText="1"/>
    </xf>
    <xf numFmtId="0" fontId="16" fillId="0" borderId="23" xfId="0" applyFont="1" applyBorder="1" applyAlignment="1">
      <alignment horizontal="center" vertical="top" wrapText="1"/>
    </xf>
    <xf numFmtId="0" fontId="16" fillId="0" borderId="21" xfId="0" applyFont="1" applyBorder="1" applyAlignment="1">
      <alignment horizontal="center" vertical="top" wrapText="1"/>
    </xf>
    <xf numFmtId="0" fontId="24" fillId="0" borderId="17" xfId="0" applyFont="1" applyBorder="1" applyAlignment="1">
      <alignment horizontal="center"/>
    </xf>
    <xf numFmtId="0" fontId="23" fillId="0" borderId="17" xfId="0" applyFont="1" applyBorder="1" applyAlignment="1" applyProtection="1">
      <alignment horizontal="center" vertical="center"/>
      <protection locked="0"/>
    </xf>
    <xf numFmtId="0" fontId="0" fillId="0" borderId="15" xfId="0" applyBorder="1" applyAlignment="1">
      <alignment vertical="center"/>
    </xf>
    <xf numFmtId="0" fontId="37" fillId="0" borderId="0" xfId="0" applyFont="1" applyBorder="1" applyAlignment="1">
      <alignment vertical="center"/>
    </xf>
    <xf numFmtId="0" fontId="59" fillId="0" borderId="0" xfId="0" applyFont="1" applyBorder="1" applyAlignment="1">
      <alignment vertical="center"/>
    </xf>
    <xf numFmtId="0" fontId="60" fillId="0" borderId="17" xfId="0" applyFont="1" applyBorder="1" applyAlignment="1">
      <alignment horizontal="center" vertical="center"/>
    </xf>
    <xf numFmtId="0" fontId="60" fillId="0" borderId="0" xfId="0" applyFont="1" applyBorder="1" applyAlignment="1">
      <alignment horizontal="center" vertical="center"/>
    </xf>
    <xf numFmtId="0" fontId="29" fillId="0" borderId="0" xfId="0" applyFont="1" applyBorder="1" applyAlignment="1">
      <alignment vertical="center"/>
    </xf>
    <xf numFmtId="0" fontId="31" fillId="0" borderId="0" xfId="0" applyFont="1" applyBorder="1" applyAlignment="1">
      <alignment vertical="center"/>
    </xf>
    <xf numFmtId="0" fontId="63" fillId="0" borderId="0" xfId="0" applyFont="1" applyBorder="1" applyAlignment="1">
      <alignment vertical="center"/>
    </xf>
    <xf numFmtId="0" fontId="56" fillId="0" borderId="17" xfId="0" applyFont="1" applyBorder="1" applyAlignment="1">
      <alignment horizontal="center" vertical="center"/>
    </xf>
    <xf numFmtId="0" fontId="45" fillId="0" borderId="0" xfId="0" applyFont="1" applyBorder="1" applyAlignment="1">
      <alignment vertical="center"/>
    </xf>
    <xf numFmtId="0" fontId="34" fillId="0" borderId="17" xfId="0" applyFont="1" applyBorder="1" applyAlignment="1">
      <alignment horizontal="center" vertical="center"/>
    </xf>
    <xf numFmtId="0" fontId="27" fillId="0" borderId="0" xfId="0" applyFont="1" applyBorder="1" applyAlignment="1">
      <alignment vertical="center"/>
    </xf>
    <xf numFmtId="0" fontId="25" fillId="0" borderId="12" xfId="0" applyFont="1" applyBorder="1" applyAlignment="1">
      <alignment horizontal="center" vertical="center"/>
    </xf>
    <xf numFmtId="0" fontId="19" fillId="0" borderId="16" xfId="0" applyFont="1" applyBorder="1" applyAlignment="1">
      <alignment horizontal="center" vertical="center"/>
    </xf>
    <xf numFmtId="0" fontId="15" fillId="0" borderId="11" xfId="0" applyFont="1" applyBorder="1" applyAlignment="1">
      <alignment vertical="center"/>
    </xf>
    <xf numFmtId="0" fontId="32" fillId="0" borderId="11" xfId="0" applyFont="1" applyBorder="1" applyAlignment="1">
      <alignment vertical="center"/>
    </xf>
    <xf numFmtId="0" fontId="11" fillId="0" borderId="17"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43" fillId="0" borderId="17" xfId="0" applyFont="1" applyBorder="1" applyAlignment="1" applyProtection="1">
      <alignment horizontal="center" vertical="center"/>
      <protection locked="0"/>
    </xf>
    <xf numFmtId="0" fontId="0" fillId="0" borderId="10" xfId="0" applyBorder="1" applyAlignment="1">
      <alignment vertical="center"/>
    </xf>
    <xf numFmtId="0" fontId="52" fillId="0" borderId="17" xfId="0" applyFont="1" applyBorder="1" applyAlignment="1">
      <alignment horizontal="center" vertical="center"/>
    </xf>
    <xf numFmtId="0" fontId="66" fillId="0" borderId="0" xfId="0" applyFont="1" applyBorder="1" applyAlignment="1">
      <alignment vertical="center"/>
    </xf>
    <xf numFmtId="0" fontId="20" fillId="0" borderId="0" xfId="0" applyFont="1" applyBorder="1" applyAlignment="1">
      <alignment vertical="center"/>
    </xf>
    <xf numFmtId="0" fontId="0" fillId="0" borderId="17" xfId="0" quotePrefix="1" applyBorder="1" applyAlignment="1" applyProtection="1">
      <alignment horizontal="center" vertical="center"/>
      <protection locked="0"/>
    </xf>
    <xf numFmtId="0" fontId="57" fillId="0" borderId="16" xfId="0" applyFont="1" applyBorder="1" applyAlignment="1">
      <alignment horizontal="center" vertical="center"/>
    </xf>
    <xf numFmtId="0" fontId="17" fillId="0" borderId="17" xfId="0" applyFont="1" applyBorder="1" applyAlignment="1">
      <alignment horizontal="center" vertical="center"/>
    </xf>
    <xf numFmtId="0" fontId="19" fillId="0" borderId="24" xfId="0" applyFont="1" applyBorder="1" applyAlignment="1">
      <alignment horizontal="left" vertical="center"/>
    </xf>
    <xf numFmtId="0" fontId="29" fillId="0" borderId="12" xfId="0" applyFont="1" applyBorder="1" applyAlignment="1" applyProtection="1">
      <alignment horizontal="left" vertical="center"/>
      <protection locked="0"/>
    </xf>
    <xf numFmtId="0" fontId="19" fillId="0" borderId="12" xfId="0" applyFont="1" applyBorder="1" applyAlignment="1" applyProtection="1">
      <alignment horizontal="left" vertical="center"/>
      <protection locked="0"/>
    </xf>
    <xf numFmtId="0" fontId="2" fillId="0" borderId="17" xfId="0" applyFont="1" applyBorder="1" applyAlignment="1">
      <alignment horizontal="center" vertical="center"/>
    </xf>
    <xf numFmtId="0" fontId="29" fillId="0" borderId="17" xfId="0" applyFont="1" applyBorder="1" applyAlignment="1" applyProtection="1">
      <alignment horizontal="left" vertical="center"/>
      <protection locked="0"/>
    </xf>
    <xf numFmtId="0" fontId="29" fillId="0" borderId="19" xfId="0" applyFont="1" applyBorder="1" applyAlignment="1" applyProtection="1">
      <alignment horizontal="left" vertical="center"/>
      <protection locked="0"/>
    </xf>
    <xf numFmtId="0" fontId="29" fillId="0" borderId="17" xfId="0" applyFont="1" applyBorder="1" applyAlignment="1">
      <alignment horizontal="center" vertical="center"/>
    </xf>
    <xf numFmtId="0" fontId="33" fillId="0" borderId="17" xfId="0" applyFont="1" applyBorder="1" applyAlignment="1">
      <alignment horizontal="left" vertical="center"/>
    </xf>
    <xf numFmtId="2" fontId="0" fillId="0" borderId="17" xfId="0" applyNumberFormat="1" applyBorder="1" applyAlignment="1" applyProtection="1">
      <alignment horizontal="center" vertical="center"/>
      <protection locked="0"/>
    </xf>
    <xf numFmtId="0" fontId="68" fillId="0" borderId="11" xfId="0" applyFont="1" applyBorder="1" applyAlignment="1">
      <alignment vertical="center"/>
    </xf>
    <xf numFmtId="2" fontId="19" fillId="0" borderId="16" xfId="0" applyNumberFormat="1" applyFont="1" applyBorder="1" applyAlignment="1" applyProtection="1">
      <alignment horizontal="center" vertical="center"/>
    </xf>
    <xf numFmtId="2" fontId="28" fillId="0" borderId="16" xfId="0" applyNumberFormat="1" applyFont="1" applyBorder="1" applyAlignment="1">
      <alignment horizontal="center" vertical="center"/>
    </xf>
    <xf numFmtId="165" fontId="0" fillId="0" borderId="0" xfId="0" applyNumberFormat="1" applyBorder="1" applyAlignment="1">
      <alignment horizontal="center" vertical="center"/>
    </xf>
    <xf numFmtId="165" fontId="0" fillId="0" borderId="17" xfId="0" applyNumberFormat="1" applyBorder="1" applyAlignment="1">
      <alignment horizontal="center" vertical="center"/>
    </xf>
    <xf numFmtId="165" fontId="0" fillId="0" borderId="11" xfId="0" applyNumberFormat="1" applyBorder="1" applyAlignment="1">
      <alignment horizontal="center" vertical="center"/>
    </xf>
    <xf numFmtId="165" fontId="0" fillId="0" borderId="20" xfId="0" applyNumberFormat="1" applyBorder="1" applyAlignment="1">
      <alignment horizontal="center" vertical="center"/>
    </xf>
    <xf numFmtId="0" fontId="15" fillId="0" borderId="14" xfId="0" applyFont="1" applyFill="1" applyBorder="1" applyAlignment="1">
      <alignment horizontal="center" vertical="center"/>
    </xf>
    <xf numFmtId="0" fontId="0" fillId="0" borderId="0" xfId="0" applyFill="1" applyBorder="1" applyAlignment="1">
      <alignment horizontal="center" vertical="center"/>
    </xf>
    <xf numFmtId="0" fontId="0" fillId="0" borderId="17" xfId="0" applyFill="1" applyBorder="1" applyAlignment="1">
      <alignment horizontal="center" vertical="center"/>
    </xf>
    <xf numFmtId="0" fontId="0" fillId="0" borderId="11" xfId="0" applyFill="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9" xfId="0" applyFont="1" applyBorder="1" applyAlignment="1">
      <alignment horizontal="center" vertical="center"/>
    </xf>
    <xf numFmtId="0" fontId="16" fillId="0" borderId="12" xfId="0" applyFont="1" applyBorder="1" applyAlignment="1">
      <alignment horizontal="center" vertical="center"/>
    </xf>
    <xf numFmtId="2" fontId="12" fillId="0" borderId="17" xfId="0" applyNumberFormat="1" applyFont="1" applyBorder="1" applyAlignment="1">
      <alignment horizontal="center" vertical="center"/>
    </xf>
    <xf numFmtId="2" fontId="32" fillId="0" borderId="17" xfId="0" applyNumberFormat="1" applyFont="1" applyBorder="1" applyAlignment="1">
      <alignment horizontal="center" vertical="center"/>
    </xf>
    <xf numFmtId="2" fontId="32" fillId="0" borderId="17" xfId="0" applyNumberFormat="1" applyFont="1" applyBorder="1" applyAlignment="1">
      <alignment horizontal="center"/>
    </xf>
    <xf numFmtId="0" fontId="16" fillId="0" borderId="21" xfId="0" applyFont="1" applyBorder="1" applyAlignment="1">
      <alignment horizontal="left" vertical="center"/>
    </xf>
    <xf numFmtId="0" fontId="16" fillId="0" borderId="18" xfId="0" applyFont="1" applyBorder="1" applyAlignment="1">
      <alignment horizontal="left" vertical="center" wrapText="1"/>
    </xf>
    <xf numFmtId="0" fontId="30" fillId="0" borderId="16" xfId="0" applyFont="1" applyBorder="1" applyAlignment="1">
      <alignment horizontal="center" vertical="center"/>
    </xf>
    <xf numFmtId="14" fontId="32" fillId="0" borderId="0" xfId="0" quotePrefix="1" applyNumberFormat="1" applyFont="1" applyBorder="1" applyAlignment="1">
      <alignment horizontal="center" vertical="center"/>
    </xf>
    <xf numFmtId="0" fontId="32" fillId="0" borderId="10" xfId="0" applyFont="1" applyBorder="1" applyAlignment="1">
      <alignment horizontal="center" vertical="center"/>
    </xf>
    <xf numFmtId="0" fontId="54" fillId="0" borderId="17" xfId="0" applyFont="1" applyBorder="1" applyAlignment="1">
      <alignment horizontal="center" vertical="center"/>
    </xf>
    <xf numFmtId="0" fontId="16" fillId="0" borderId="17" xfId="0" applyFont="1" applyBorder="1" applyAlignment="1">
      <alignment vertical="center"/>
    </xf>
    <xf numFmtId="0" fontId="16" fillId="0" borderId="18" xfId="0" applyFont="1" applyBorder="1" applyAlignment="1">
      <alignment vertical="center"/>
    </xf>
    <xf numFmtId="0" fontId="12" fillId="0" borderId="16" xfId="0" applyFont="1" applyBorder="1" applyAlignment="1">
      <alignment horizontal="left" vertical="center" wrapText="1"/>
    </xf>
    <xf numFmtId="0" fontId="29" fillId="0" borderId="17" xfId="0" applyFont="1" applyBorder="1" applyAlignment="1">
      <alignment horizontal="left" vertical="center" wrapText="1"/>
    </xf>
    <xf numFmtId="0" fontId="29"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16" fillId="0" borderId="10" xfId="0" applyFont="1" applyBorder="1" applyAlignment="1">
      <alignment horizontal="center" vertical="center"/>
    </xf>
    <xf numFmtId="0" fontId="20" fillId="0" borderId="17" xfId="0" applyFont="1" applyBorder="1" applyAlignment="1">
      <alignment horizontal="left" vertical="center"/>
    </xf>
    <xf numFmtId="0" fontId="3" fillId="0" borderId="21" xfId="0" applyFont="1" applyBorder="1" applyAlignment="1">
      <alignment horizontal="center" vertical="center"/>
    </xf>
    <xf numFmtId="2" fontId="0" fillId="0" borderId="18" xfId="0" applyNumberFormat="1" applyBorder="1" applyAlignment="1">
      <alignment horizontal="center" vertical="center"/>
    </xf>
    <xf numFmtId="0" fontId="46" fillId="0" borderId="0" xfId="0" applyFont="1" applyBorder="1" applyAlignment="1">
      <alignment vertical="top"/>
    </xf>
    <xf numFmtId="0" fontId="66" fillId="0" borderId="11" xfId="0" applyFont="1" applyBorder="1" applyAlignment="1">
      <alignment vertical="center"/>
    </xf>
    <xf numFmtId="0" fontId="27" fillId="0" borderId="11" xfId="0" applyFont="1" applyBorder="1" applyAlignment="1">
      <alignment vertical="center"/>
    </xf>
    <xf numFmtId="0" fontId="20" fillId="0" borderId="11" xfId="0" applyFont="1" applyBorder="1" applyAlignment="1">
      <alignment vertical="center"/>
    </xf>
    <xf numFmtId="0" fontId="55" fillId="0" borderId="10" xfId="0" applyFont="1" applyBorder="1" applyAlignment="1">
      <alignment horizontal="right" vertical="center" wrapText="1"/>
    </xf>
    <xf numFmtId="0" fontId="0" fillId="0" borderId="0" xfId="0" applyFill="1" applyBorder="1" applyAlignment="1" applyProtection="1">
      <alignment horizontal="center" vertical="center"/>
      <protection locked="0"/>
    </xf>
    <xf numFmtId="165" fontId="0" fillId="0" borderId="10" xfId="0" applyNumberFormat="1" applyBorder="1" applyAlignment="1">
      <alignment horizontal="center" vertical="center"/>
    </xf>
    <xf numFmtId="165" fontId="0" fillId="0" borderId="18" xfId="0" applyNumberFormat="1" applyBorder="1" applyAlignment="1">
      <alignment horizontal="center" vertical="center"/>
    </xf>
    <xf numFmtId="0" fontId="41" fillId="0" borderId="19" xfId="0" applyFont="1" applyBorder="1" applyAlignment="1">
      <alignment horizontal="center"/>
    </xf>
    <xf numFmtId="0" fontId="41" fillId="0" borderId="12" xfId="0" applyFont="1" applyBorder="1" applyAlignment="1">
      <alignment horizontal="center"/>
    </xf>
    <xf numFmtId="2" fontId="0" fillId="0" borderId="21" xfId="0" applyNumberFormat="1" applyBorder="1" applyAlignment="1">
      <alignment horizontal="center" vertical="center"/>
    </xf>
    <xf numFmtId="0" fontId="16" fillId="0" borderId="12" xfId="0" applyFont="1" applyFill="1" applyBorder="1" applyAlignment="1"/>
    <xf numFmtId="2" fontId="12" fillId="0" borderId="17" xfId="0" applyNumberFormat="1" applyFont="1" applyFill="1" applyBorder="1" applyAlignment="1">
      <alignment horizontal="center"/>
    </xf>
    <xf numFmtId="0" fontId="16" fillId="0" borderId="19" xfId="0" applyFont="1" applyFill="1" applyBorder="1" applyAlignment="1"/>
    <xf numFmtId="2" fontId="12" fillId="0" borderId="18" xfId="0" applyNumberFormat="1" applyFont="1" applyFill="1" applyBorder="1" applyAlignment="1">
      <alignment horizontal="center"/>
    </xf>
    <xf numFmtId="2" fontId="3" fillId="0" borderId="0" xfId="0" applyNumberFormat="1" applyFont="1" applyBorder="1" applyAlignment="1">
      <alignment horizontal="center" vertical="center"/>
    </xf>
    <xf numFmtId="0" fontId="16" fillId="0" borderId="0" xfId="0" applyFont="1" applyFill="1" applyBorder="1" applyProtection="1">
      <protection locked="0"/>
    </xf>
    <xf numFmtId="0" fontId="0" fillId="0" borderId="0" xfId="0" applyAlignment="1" applyProtection="1">
      <protection locked="0"/>
    </xf>
    <xf numFmtId="0" fontId="0" fillId="0" borderId="0" xfId="0" applyAlignment="1">
      <alignment vertical="top" wrapText="1"/>
    </xf>
    <xf numFmtId="0" fontId="11" fillId="0" borderId="0" xfId="0" applyFont="1" applyAlignment="1">
      <alignment horizontal="center"/>
    </xf>
    <xf numFmtId="0" fontId="91" fillId="0" borderId="0" xfId="0" applyFont="1" applyBorder="1" applyAlignment="1">
      <alignment horizontal="center"/>
    </xf>
    <xf numFmtId="0" fontId="93" fillId="0" borderId="0" xfId="0" applyFont="1"/>
    <xf numFmtId="0" fontId="94" fillId="0" borderId="0" xfId="0" applyFont="1"/>
    <xf numFmtId="0" fontId="11" fillId="0" borderId="0" xfId="0" applyFont="1" applyAlignment="1">
      <alignment horizontal="center" vertical="top"/>
    </xf>
    <xf numFmtId="0" fontId="92" fillId="0" borderId="0" xfId="0" applyFont="1" applyAlignment="1">
      <alignment horizontal="center" vertical="center"/>
    </xf>
    <xf numFmtId="0" fontId="95" fillId="0" borderId="0" xfId="0" applyFont="1"/>
    <xf numFmtId="0" fontId="92" fillId="0" borderId="0" xfId="0" applyFont="1" applyBorder="1" applyAlignment="1">
      <alignment horizontal="center" vertical="top"/>
    </xf>
    <xf numFmtId="0" fontId="92" fillId="0" borderId="0" xfId="0" applyFont="1" applyAlignment="1">
      <alignment horizontal="center" vertical="top"/>
    </xf>
    <xf numFmtId="0" fontId="11" fillId="0" borderId="0" xfId="0" applyFont="1" applyBorder="1" applyAlignment="1">
      <alignment horizontal="center"/>
    </xf>
    <xf numFmtId="0" fontId="29" fillId="0" borderId="0" xfId="0" applyFont="1" applyBorder="1" applyAlignment="1" applyProtection="1">
      <alignment vertical="center"/>
      <protection locked="0"/>
    </xf>
    <xf numFmtId="0" fontId="29" fillId="0" borderId="16" xfId="0" applyFont="1" applyBorder="1" applyAlignment="1">
      <alignment horizontal="center" vertical="center"/>
    </xf>
    <xf numFmtId="0" fontId="92" fillId="0" borderId="10" xfId="0" applyFont="1" applyBorder="1" applyAlignment="1">
      <alignment horizontal="center" vertical="center"/>
    </xf>
    <xf numFmtId="0" fontId="3" fillId="0" borderId="0" xfId="0" applyFont="1" applyAlignment="1">
      <alignment horizontal="center" vertical="center" textRotation="180"/>
    </xf>
    <xf numFmtId="0" fontId="0" fillId="0" borderId="0" xfId="0" applyAlignment="1">
      <alignment textRotation="180"/>
    </xf>
    <xf numFmtId="0" fontId="11" fillId="0" borderId="10" xfId="0" applyFont="1" applyBorder="1" applyAlignment="1">
      <alignment horizontal="right"/>
    </xf>
    <xf numFmtId="0" fontId="36" fillId="0" borderId="0" xfId="0" quotePrefix="1" applyFont="1" applyBorder="1" applyAlignment="1">
      <alignment horizontal="center" vertical="center"/>
    </xf>
    <xf numFmtId="0" fontId="28" fillId="0" borderId="0" xfId="0" applyFont="1" applyBorder="1" applyAlignment="1" applyProtection="1">
      <alignment horizontal="center" vertical="center"/>
      <protection locked="0"/>
    </xf>
    <xf numFmtId="0" fontId="12" fillId="0" borderId="0" xfId="0" applyFont="1" applyBorder="1" applyAlignment="1">
      <alignment horizontal="center"/>
    </xf>
    <xf numFmtId="0" fontId="58" fillId="0" borderId="22" xfId="0" applyFont="1" applyBorder="1" applyAlignment="1">
      <alignment horizontal="center" vertical="center"/>
    </xf>
    <xf numFmtId="0" fontId="29" fillId="0" borderId="16" xfId="0" applyFont="1" applyFill="1" applyBorder="1" applyAlignment="1">
      <alignment horizontal="center" vertical="center" wrapText="1"/>
    </xf>
    <xf numFmtId="0" fontId="32" fillId="0" borderId="0" xfId="0" applyFont="1" applyFill="1" applyBorder="1" applyAlignment="1">
      <alignment horizontal="center"/>
    </xf>
    <xf numFmtId="0" fontId="75" fillId="0" borderId="0" xfId="0" applyFont="1" applyAlignment="1">
      <alignment horizontal="center" vertical="center"/>
    </xf>
    <xf numFmtId="0" fontId="29" fillId="0" borderId="0" xfId="0" applyFont="1" applyBorder="1" applyAlignment="1">
      <alignment horizontal="center" vertical="top"/>
    </xf>
    <xf numFmtId="0" fontId="29" fillId="0" borderId="0" xfId="0" applyFont="1" applyAlignment="1">
      <alignment horizontal="center" vertical="top"/>
    </xf>
    <xf numFmtId="0" fontId="0" fillId="0" borderId="24" xfId="0" applyBorder="1" applyAlignment="1">
      <alignment horizontal="center"/>
    </xf>
    <xf numFmtId="0" fontId="17" fillId="0" borderId="21"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47" fillId="0" borderId="0" xfId="0" applyFont="1" applyBorder="1" applyAlignment="1">
      <alignment horizontal="center" vertical="center"/>
    </xf>
    <xf numFmtId="0" fontId="33" fillId="0" borderId="0" xfId="0" applyFont="1" applyBorder="1" applyAlignment="1" applyProtection="1">
      <alignment vertical="center"/>
      <protection locked="0"/>
    </xf>
    <xf numFmtId="0" fontId="23" fillId="0" borderId="0" xfId="0" applyFont="1" applyBorder="1" applyAlignment="1">
      <alignment horizontal="center"/>
    </xf>
    <xf numFmtId="2" fontId="7" fillId="0" borderId="0" xfId="0" applyNumberFormat="1" applyFont="1" applyBorder="1" applyAlignment="1">
      <alignment horizontal="center" vertical="center" wrapText="1"/>
    </xf>
    <xf numFmtId="2" fontId="7" fillId="0" borderId="0" xfId="0" applyNumberFormat="1" applyFont="1" applyBorder="1" applyAlignment="1">
      <alignment horizontal="center" vertical="center"/>
    </xf>
    <xf numFmtId="0" fontId="17" fillId="0" borderId="0" xfId="0" quotePrefix="1" applyFont="1" applyBorder="1" applyAlignment="1">
      <alignment horizontal="center" vertical="center"/>
    </xf>
    <xf numFmtId="0" fontId="11" fillId="0" borderId="23" xfId="0" applyFont="1" applyBorder="1" applyAlignment="1">
      <alignment horizontal="center"/>
    </xf>
    <xf numFmtId="0" fontId="11" fillId="0" borderId="11" xfId="0" applyFont="1" applyBorder="1" applyAlignment="1">
      <alignment horizontal="center"/>
    </xf>
    <xf numFmtId="0" fontId="17" fillId="0" borderId="17" xfId="0" applyFont="1" applyBorder="1" applyAlignment="1">
      <alignment horizontal="center"/>
    </xf>
    <xf numFmtId="0" fontId="11" fillId="0" borderId="21" xfId="0" applyFont="1" applyBorder="1" applyAlignment="1">
      <alignment horizontal="center"/>
    </xf>
    <xf numFmtId="0" fontId="29" fillId="0" borderId="0" xfId="0" applyFont="1" applyBorder="1"/>
    <xf numFmtId="165" fontId="0" fillId="0" borderId="0" xfId="0" applyNumberFormat="1"/>
    <xf numFmtId="0" fontId="25" fillId="0" borderId="10" xfId="0" applyFont="1" applyBorder="1" applyAlignment="1">
      <alignment horizontal="center" vertical="top"/>
    </xf>
    <xf numFmtId="0" fontId="25" fillId="0" borderId="0" xfId="0" applyFont="1" applyBorder="1" applyAlignment="1">
      <alignment horizontal="left" vertical="center"/>
    </xf>
    <xf numFmtId="0" fontId="19" fillId="0" borderId="18" xfId="0" applyFont="1" applyBorder="1" applyAlignment="1">
      <alignment horizontal="center" vertical="center"/>
    </xf>
    <xf numFmtId="0" fontId="15" fillId="0" borderId="10" xfId="0" applyFont="1" applyBorder="1" applyAlignment="1">
      <alignment horizontal="center" vertical="center"/>
    </xf>
    <xf numFmtId="0" fontId="19" fillId="0" borderId="12" xfId="0" applyFont="1" applyBorder="1" applyAlignment="1" applyProtection="1">
      <alignment vertical="center"/>
      <protection locked="0"/>
    </xf>
    <xf numFmtId="0" fontId="29" fillId="0" borderId="12" xfId="0" applyFont="1" applyBorder="1" applyAlignment="1">
      <alignment vertical="center"/>
    </xf>
    <xf numFmtId="0" fontId="29" fillId="0" borderId="12" xfId="0" applyFont="1" applyBorder="1" applyAlignment="1" applyProtection="1">
      <alignment vertical="center"/>
      <protection locked="0"/>
    </xf>
    <xf numFmtId="0" fontId="0" fillId="0" borderId="21" xfId="0" applyBorder="1" applyAlignment="1">
      <alignment horizontal="center" vertical="center" wrapText="1"/>
    </xf>
    <xf numFmtId="0" fontId="20" fillId="0" borderId="24" xfId="0" applyFont="1" applyBorder="1" applyAlignment="1">
      <alignment horizontal="center" vertical="center"/>
    </xf>
    <xf numFmtId="0" fontId="16" fillId="0" borderId="22" xfId="0" applyFont="1" applyBorder="1" applyAlignment="1">
      <alignment horizontal="left" vertical="top"/>
    </xf>
    <xf numFmtId="0" fontId="48" fillId="0" borderId="12" xfId="0" applyFont="1" applyBorder="1" applyAlignment="1">
      <alignment horizontal="center" vertical="center"/>
    </xf>
    <xf numFmtId="0" fontId="12" fillId="0" borderId="0" xfId="0" applyFont="1" applyBorder="1" applyAlignment="1" applyProtection="1">
      <alignment horizontal="center"/>
      <protection locked="0"/>
    </xf>
    <xf numFmtId="0" fontId="11" fillId="0" borderId="0" xfId="0" applyFont="1" applyAlignment="1">
      <alignment vertical="top"/>
    </xf>
    <xf numFmtId="0" fontId="33" fillId="0" borderId="19" xfId="0" applyFont="1" applyBorder="1" applyAlignment="1">
      <alignment horizontal="center" vertical="center"/>
    </xf>
    <xf numFmtId="0" fontId="33" fillId="0" borderId="12" xfId="0" applyFont="1" applyBorder="1" applyAlignment="1">
      <alignment horizontal="center" vertical="center"/>
    </xf>
    <xf numFmtId="0" fontId="12" fillId="0" borderId="0" xfId="0" applyFont="1" applyAlignment="1">
      <alignment horizontal="center"/>
    </xf>
    <xf numFmtId="0" fontId="29" fillId="0" borderId="19" xfId="0" applyFont="1" applyBorder="1" applyAlignment="1">
      <alignment horizontal="center" vertical="center"/>
    </xf>
    <xf numFmtId="164" fontId="19" fillId="0" borderId="18" xfId="0" applyNumberFormat="1" applyFont="1" applyBorder="1" applyAlignment="1">
      <alignment horizontal="center" vertical="center"/>
    </xf>
    <xf numFmtId="0" fontId="15" fillId="0" borderId="17" xfId="0" applyFont="1" applyBorder="1" applyAlignment="1">
      <alignment horizontal="center" vertical="center"/>
    </xf>
    <xf numFmtId="0" fontId="71" fillId="0" borderId="15" xfId="0" applyFont="1" applyBorder="1" applyAlignment="1">
      <alignment horizontal="center" vertical="center"/>
    </xf>
    <xf numFmtId="0" fontId="12" fillId="0" borderId="22" xfId="0" applyFont="1" applyBorder="1" applyAlignment="1" applyProtection="1">
      <alignment vertical="top"/>
      <protection locked="0"/>
    </xf>
    <xf numFmtId="0" fontId="12" fillId="0" borderId="0" xfId="0" applyFont="1" applyAlignment="1" applyProtection="1">
      <alignment vertical="top"/>
      <protection locked="0"/>
    </xf>
    <xf numFmtId="0" fontId="98" fillId="0" borderId="16" xfId="0" quotePrefix="1" applyFont="1" applyBorder="1" applyAlignment="1">
      <alignment horizontal="center" vertical="center"/>
    </xf>
    <xf numFmtId="0" fontId="98" fillId="0" borderId="13" xfId="0" quotePrefix="1" applyFont="1" applyBorder="1" applyAlignment="1">
      <alignment horizontal="center" vertical="center"/>
    </xf>
    <xf numFmtId="0" fontId="98" fillId="0" borderId="14" xfId="0" quotePrefix="1" applyFont="1" applyBorder="1" applyAlignment="1">
      <alignment horizontal="center" vertical="center"/>
    </xf>
    <xf numFmtId="0" fontId="98" fillId="0" borderId="13" xfId="0" quotePrefix="1" applyFont="1" applyFill="1" applyBorder="1" applyAlignment="1">
      <alignment horizontal="center" vertical="center"/>
    </xf>
    <xf numFmtId="0" fontId="98" fillId="0" borderId="16" xfId="0" quotePrefix="1" applyFont="1" applyFill="1" applyBorder="1" applyAlignment="1">
      <alignment horizontal="center" vertical="center"/>
    </xf>
    <xf numFmtId="0" fontId="98" fillId="0" borderId="14" xfId="0" quotePrefix="1" applyFont="1" applyFill="1" applyBorder="1" applyAlignment="1">
      <alignment horizontal="center" vertical="center"/>
    </xf>
    <xf numFmtId="0" fontId="87" fillId="0" borderId="16" xfId="0" applyFont="1" applyBorder="1" applyAlignment="1">
      <alignment horizontal="center" vertical="center"/>
    </xf>
    <xf numFmtId="0" fontId="87" fillId="0" borderId="13" xfId="0" applyFont="1" applyBorder="1" applyAlignment="1">
      <alignment horizontal="center" vertical="center"/>
    </xf>
    <xf numFmtId="0" fontId="33" fillId="0" borderId="17" xfId="0" applyFont="1" applyBorder="1" applyAlignment="1">
      <alignment horizontal="center" vertical="center"/>
    </xf>
    <xf numFmtId="0" fontId="99" fillId="0" borderId="16" xfId="0" applyFont="1" applyBorder="1" applyAlignment="1">
      <alignment horizontal="center" vertical="center" wrapText="1"/>
    </xf>
    <xf numFmtId="0" fontId="15" fillId="0" borderId="16" xfId="0" applyFont="1" applyBorder="1" applyAlignment="1">
      <alignment horizontal="center" vertical="center" wrapText="1"/>
    </xf>
    <xf numFmtId="0" fontId="33" fillId="0" borderId="12" xfId="0" applyFont="1" applyBorder="1" applyAlignment="1">
      <alignment horizontal="left" vertical="center"/>
    </xf>
    <xf numFmtId="0" fontId="33" fillId="0" borderId="24" xfId="0" applyFont="1" applyBorder="1" applyAlignment="1">
      <alignment horizontal="center" vertical="center"/>
    </xf>
    <xf numFmtId="0" fontId="0" fillId="0" borderId="21" xfId="0" applyBorder="1" applyAlignment="1" applyProtection="1">
      <alignment horizontal="center" vertical="center"/>
      <protection locked="0"/>
    </xf>
    <xf numFmtId="0" fontId="12" fillId="0" borderId="22" xfId="0" applyFont="1" applyBorder="1" applyAlignment="1">
      <alignment horizontal="center" vertical="top"/>
    </xf>
    <xf numFmtId="0" fontId="15" fillId="0" borderId="0" xfId="0" applyFont="1" applyAlignment="1">
      <alignment horizontal="left" vertical="top"/>
    </xf>
    <xf numFmtId="2" fontId="6" fillId="0" borderId="17" xfId="0" applyNumberFormat="1" applyFont="1" applyBorder="1" applyAlignment="1">
      <alignment horizontal="center" vertical="center"/>
    </xf>
    <xf numFmtId="164" fontId="0" fillId="0" borderId="18" xfId="0" applyNumberFormat="1" applyBorder="1" applyAlignment="1">
      <alignment horizontal="center" vertical="center"/>
    </xf>
    <xf numFmtId="2" fontId="7" fillId="0" borderId="17" xfId="0" applyNumberFormat="1" applyFont="1" applyBorder="1" applyAlignment="1" applyProtection="1">
      <alignment horizontal="center" vertical="center"/>
      <protection locked="0"/>
    </xf>
    <xf numFmtId="0" fontId="3" fillId="0" borderId="19" xfId="0" applyFont="1" applyBorder="1" applyAlignment="1">
      <alignment horizontal="center" vertical="center"/>
    </xf>
    <xf numFmtId="0" fontId="12" fillId="0" borderId="10" xfId="0" applyFont="1" applyBorder="1" applyAlignment="1">
      <alignment horizontal="right" vertical="top" wrapText="1"/>
    </xf>
    <xf numFmtId="0" fontId="98" fillId="0" borderId="18" xfId="0" quotePrefix="1" applyFont="1" applyBorder="1" applyAlignment="1">
      <alignment horizontal="center" vertical="center"/>
    </xf>
    <xf numFmtId="0" fontId="98" fillId="0" borderId="13" xfId="0" quotePrefix="1" applyFont="1" applyBorder="1" applyAlignment="1">
      <alignment horizontal="center" vertical="center" wrapText="1"/>
    </xf>
    <xf numFmtId="0" fontId="98" fillId="0" borderId="16" xfId="0" quotePrefix="1" applyFont="1" applyBorder="1" applyAlignment="1">
      <alignment horizontal="center" vertical="center" wrapText="1"/>
    </xf>
    <xf numFmtId="0" fontId="13" fillId="0" borderId="0" xfId="0" applyFont="1" applyBorder="1"/>
    <xf numFmtId="0" fontId="33" fillId="0" borderId="16" xfId="0" applyFont="1" applyBorder="1" applyAlignment="1">
      <alignment horizontal="center" vertical="center" wrapText="1"/>
    </xf>
    <xf numFmtId="0" fontId="12" fillId="0" borderId="14" xfId="0" applyFont="1" applyBorder="1" applyAlignment="1">
      <alignment horizontal="center" vertical="center" wrapText="1"/>
    </xf>
    <xf numFmtId="0" fontId="90" fillId="0" borderId="16" xfId="0" applyFont="1" applyBorder="1" applyAlignment="1">
      <alignment horizontal="center" vertical="center"/>
    </xf>
    <xf numFmtId="0" fontId="2" fillId="0" borderId="21"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23" fillId="0" borderId="16" xfId="0" applyFont="1" applyBorder="1" applyAlignment="1">
      <alignment vertical="center"/>
    </xf>
    <xf numFmtId="0" fontId="23" fillId="0" borderId="16" xfId="0" applyFont="1" applyBorder="1" applyAlignment="1" applyProtection="1">
      <alignment horizontal="center" vertical="center"/>
      <protection locked="0"/>
    </xf>
    <xf numFmtId="0" fontId="28" fillId="0" borderId="16" xfId="0" applyFont="1" applyBorder="1" applyAlignment="1">
      <alignment horizontal="center" vertical="center" wrapText="1"/>
    </xf>
    <xf numFmtId="0" fontId="68" fillId="0" borderId="14" xfId="0" applyFont="1" applyBorder="1" applyAlignment="1">
      <alignment horizontal="center" vertical="center" wrapText="1"/>
    </xf>
    <xf numFmtId="0" fontId="68" fillId="0" borderId="16" xfId="0" applyFont="1" applyBorder="1" applyAlignment="1">
      <alignment horizontal="center" vertical="center" wrapText="1"/>
    </xf>
    <xf numFmtId="0" fontId="65" fillId="0" borderId="0" xfId="0" applyFont="1" applyBorder="1" applyAlignment="1">
      <alignment vertical="top"/>
    </xf>
    <xf numFmtId="0" fontId="15" fillId="0" borderId="0" xfId="0" applyFont="1" applyBorder="1" applyAlignment="1">
      <alignment horizontal="center" vertical="center" wrapText="1"/>
    </xf>
    <xf numFmtId="0" fontId="41" fillId="0" borderId="10" xfId="0" applyFont="1" applyBorder="1" applyAlignment="1">
      <alignment horizontal="center" vertical="center"/>
    </xf>
    <xf numFmtId="0" fontId="15" fillId="0" borderId="24" xfId="0" applyFont="1" applyBorder="1" applyAlignment="1">
      <alignment horizontal="center" vertical="center" wrapText="1"/>
    </xf>
    <xf numFmtId="0" fontId="101" fillId="0" borderId="0" xfId="0" applyFont="1"/>
    <xf numFmtId="0" fontId="0" fillId="0" borderId="24" xfId="0" applyBorder="1" applyAlignment="1">
      <alignment horizontal="center" vertical="center"/>
    </xf>
    <xf numFmtId="0" fontId="57" fillId="0" borderId="14" xfId="0" applyFont="1" applyBorder="1" applyAlignment="1">
      <alignment horizontal="center" vertical="center"/>
    </xf>
    <xf numFmtId="0" fontId="102" fillId="0" borderId="10" xfId="0" applyFont="1" applyBorder="1" applyAlignment="1">
      <alignment horizontal="center" vertical="center" wrapText="1"/>
    </xf>
    <xf numFmtId="0" fontId="55" fillId="0" borderId="0" xfId="0" applyFont="1" applyBorder="1" applyAlignment="1">
      <alignment horizontal="right" vertical="center"/>
    </xf>
    <xf numFmtId="0" fontId="15" fillId="0" borderId="11" xfId="0" applyFont="1" applyFill="1" applyBorder="1" applyAlignment="1">
      <alignment horizontal="center" vertical="center"/>
    </xf>
    <xf numFmtId="0" fontId="15" fillId="0" borderId="16" xfId="0" applyFont="1" applyFill="1" applyBorder="1" applyAlignment="1">
      <alignment horizontal="center" vertical="center"/>
    </xf>
    <xf numFmtId="0" fontId="19" fillId="0" borderId="23" xfId="0" applyFont="1" applyBorder="1" applyAlignment="1">
      <alignment vertical="center"/>
    </xf>
    <xf numFmtId="0" fontId="48" fillId="0" borderId="11" xfId="0" applyFont="1" applyBorder="1" applyAlignment="1">
      <alignment vertical="center"/>
    </xf>
    <xf numFmtId="0" fontId="19" fillId="0" borderId="11" xfId="0" applyFont="1" applyBorder="1" applyAlignment="1">
      <alignment vertical="center"/>
    </xf>
    <xf numFmtId="0" fontId="16" fillId="0" borderId="11" xfId="0" applyFont="1" applyBorder="1" applyAlignment="1">
      <alignment vertical="center"/>
    </xf>
    <xf numFmtId="0" fontId="26" fillId="0" borderId="11" xfId="0" applyFont="1" applyBorder="1" applyAlignment="1">
      <alignment vertical="center"/>
    </xf>
    <xf numFmtId="0" fontId="22" fillId="0" borderId="16" xfId="0" applyFont="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20" fillId="0" borderId="18" xfId="0" applyFont="1" applyFill="1" applyBorder="1" applyAlignment="1">
      <alignment horizontal="center" vertical="center"/>
    </xf>
    <xf numFmtId="0" fontId="10" fillId="0" borderId="16" xfId="0" applyFont="1" applyFill="1" applyBorder="1" applyAlignment="1">
      <alignment horizontal="center" vertical="center"/>
    </xf>
    <xf numFmtId="164" fontId="2" fillId="0" borderId="11" xfId="0" applyNumberFormat="1" applyFont="1" applyBorder="1" applyAlignment="1" applyProtection="1">
      <alignment horizontal="center" vertical="center"/>
      <protection locked="0"/>
    </xf>
    <xf numFmtId="164" fontId="0" fillId="0" borderId="12" xfId="0" applyNumberFormat="1" applyBorder="1" applyAlignment="1">
      <alignment horizontal="center" vertical="center"/>
    </xf>
    <xf numFmtId="0" fontId="17" fillId="0" borderId="2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1" xfId="0" applyFont="1" applyBorder="1" applyAlignment="1" applyProtection="1">
      <alignment horizontal="center" vertical="center" wrapText="1"/>
      <protection locked="0"/>
    </xf>
    <xf numFmtId="0" fontId="16" fillId="0" borderId="16" xfId="0" quotePrefix="1" applyFont="1" applyBorder="1" applyAlignment="1" applyProtection="1">
      <alignment horizontal="center" vertical="center"/>
      <protection locked="0"/>
    </xf>
    <xf numFmtId="0" fontId="16" fillId="0" borderId="13" xfId="0" quotePrefix="1" applyFont="1" applyBorder="1" applyAlignment="1" applyProtection="1">
      <alignment horizontal="center" vertical="center"/>
      <protection locked="0"/>
    </xf>
    <xf numFmtId="0" fontId="0" fillId="0" borderId="17" xfId="0" applyBorder="1" applyAlignment="1" applyProtection="1">
      <alignment horizontal="center" vertical="center"/>
    </xf>
    <xf numFmtId="0" fontId="17" fillId="0" borderId="16" xfId="0" applyFont="1" applyBorder="1" applyAlignment="1" applyProtection="1">
      <alignment horizontal="center" vertical="center" wrapText="1"/>
      <protection locked="0"/>
    </xf>
    <xf numFmtId="0" fontId="0" fillId="0" borderId="0" xfId="0" quotePrefix="1" applyBorder="1" applyAlignment="1" applyProtection="1">
      <alignment horizontal="center" vertical="center"/>
      <protection locked="0"/>
    </xf>
    <xf numFmtId="0" fontId="0" fillId="0" borderId="18" xfId="0" quotePrefix="1" applyBorder="1" applyAlignment="1" applyProtection="1">
      <alignment horizontal="center" vertical="center"/>
      <protection locked="0"/>
    </xf>
    <xf numFmtId="0" fontId="16" fillId="0" borderId="15" xfId="0" quotePrefix="1" applyFont="1" applyBorder="1" applyAlignment="1" applyProtection="1">
      <alignment horizontal="center" vertical="center"/>
      <protection locked="0"/>
    </xf>
    <xf numFmtId="0" fontId="16" fillId="0" borderId="14" xfId="0" quotePrefix="1" applyFont="1" applyBorder="1" applyAlignment="1" applyProtection="1">
      <alignment horizontal="center" vertical="center"/>
      <protection locked="0"/>
    </xf>
    <xf numFmtId="0" fontId="33" fillId="0" borderId="17" xfId="0" applyFont="1" applyBorder="1" applyAlignment="1" applyProtection="1">
      <alignment horizontal="center" vertical="center"/>
      <protection locked="0"/>
    </xf>
    <xf numFmtId="0" fontId="12" fillId="0" borderId="17" xfId="0" applyFont="1" applyBorder="1" applyAlignment="1" applyProtection="1">
      <alignment horizontal="left" vertical="top" wrapText="1"/>
      <protection locked="0"/>
    </xf>
    <xf numFmtId="0" fontId="87" fillId="0" borderId="12" xfId="0" applyFont="1" applyBorder="1" applyAlignment="1" applyProtection="1">
      <alignment horizontal="center" vertical="center"/>
      <protection locked="0"/>
    </xf>
    <xf numFmtId="0" fontId="15" fillId="0" borderId="23" xfId="0" applyFont="1" applyBorder="1" applyAlignment="1">
      <alignment horizontal="center" vertical="center" wrapText="1"/>
    </xf>
    <xf numFmtId="0" fontId="0" fillId="0" borderId="18" xfId="0" applyBorder="1" applyAlignment="1" applyProtection="1">
      <alignment horizontal="center" vertical="center"/>
    </xf>
    <xf numFmtId="0" fontId="41" fillId="0" borderId="18" xfId="0" applyFont="1" applyBorder="1" applyAlignment="1">
      <alignment horizontal="center" vertical="center"/>
    </xf>
    <xf numFmtId="0" fontId="32" fillId="0" borderId="0" xfId="0" applyFont="1" applyFill="1" applyBorder="1" applyAlignment="1">
      <alignment horizontal="right" vertical="center"/>
    </xf>
    <xf numFmtId="0" fontId="6" fillId="0" borderId="0" xfId="0" applyFont="1" applyAlignment="1"/>
    <xf numFmtId="0" fontId="3" fillId="0" borderId="23" xfId="0" applyFont="1" applyBorder="1" applyAlignment="1" applyProtection="1">
      <alignment horizontal="center" vertical="center"/>
      <protection locked="0"/>
    </xf>
    <xf numFmtId="0" fontId="16" fillId="0" borderId="16" xfId="0" applyFont="1" applyFill="1" applyBorder="1" applyAlignment="1">
      <alignment horizontal="center" vertical="center"/>
    </xf>
    <xf numFmtId="0" fontId="39" fillId="0" borderId="0" xfId="0" applyFont="1" applyBorder="1" applyAlignment="1">
      <alignment horizontal="center" vertical="top" wrapText="1"/>
    </xf>
    <xf numFmtId="0" fontId="0" fillId="0" borderId="17" xfId="0" quotePrefix="1" applyBorder="1" applyAlignment="1">
      <alignment horizontal="center" vertical="center"/>
    </xf>
    <xf numFmtId="0" fontId="32" fillId="0" borderId="18" xfId="0" applyFont="1" applyFill="1" applyBorder="1" applyAlignment="1">
      <alignment horizontal="center" vertical="center"/>
    </xf>
    <xf numFmtId="0" fontId="57" fillId="0" borderId="15" xfId="0" applyFont="1" applyBorder="1" applyAlignment="1">
      <alignment horizontal="center" vertical="center"/>
    </xf>
    <xf numFmtId="0" fontId="12" fillId="0" borderId="15" xfId="0" quotePrefix="1" applyFont="1" applyBorder="1" applyAlignment="1">
      <alignment horizontal="center" vertical="center"/>
    </xf>
    <xf numFmtId="2" fontId="0" fillId="0" borderId="0" xfId="0" applyNumberFormat="1" applyBorder="1" applyAlignment="1" applyProtection="1">
      <alignment horizontal="center" vertical="center"/>
    </xf>
    <xf numFmtId="2" fontId="0" fillId="0" borderId="11" xfId="0" applyNumberFormat="1" applyBorder="1" applyAlignment="1" applyProtection="1">
      <alignment horizontal="center" vertical="center"/>
    </xf>
    <xf numFmtId="2" fontId="58" fillId="0" borderId="13" xfId="0" applyNumberFormat="1" applyFont="1" applyBorder="1" applyAlignment="1">
      <alignment horizontal="center" vertical="center"/>
    </xf>
    <xf numFmtId="2" fontId="58" fillId="0" borderId="14" xfId="0" applyNumberFormat="1" applyFont="1" applyBorder="1" applyAlignment="1">
      <alignment horizontal="center" vertical="center"/>
    </xf>
    <xf numFmtId="2" fontId="2" fillId="0" borderId="0" xfId="0" applyNumberFormat="1" applyFont="1" applyBorder="1" applyAlignment="1" applyProtection="1">
      <alignment horizontal="center"/>
    </xf>
    <xf numFmtId="0" fontId="3" fillId="0" borderId="17" xfId="0" quotePrefix="1" applyFont="1" applyBorder="1" applyAlignment="1" applyProtection="1">
      <alignment horizontal="center" vertical="center"/>
      <protection locked="0"/>
    </xf>
    <xf numFmtId="0" fontId="3" fillId="0" borderId="0" xfId="0" quotePrefix="1"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3" fillId="0" borderId="10" xfId="0" quotePrefix="1" applyFont="1" applyBorder="1" applyAlignment="1" applyProtection="1">
      <alignment horizontal="center" vertical="center"/>
      <protection locked="0"/>
    </xf>
    <xf numFmtId="0" fontId="12" fillId="0" borderId="0" xfId="0" applyFont="1" applyBorder="1" applyProtection="1">
      <protection locked="0"/>
    </xf>
    <xf numFmtId="0" fontId="15" fillId="0" borderId="13" xfId="0" applyFont="1" applyBorder="1" applyAlignment="1">
      <alignment horizontal="center" vertical="center" wrapText="1"/>
    </xf>
    <xf numFmtId="0" fontId="33" fillId="0" borderId="0" xfId="0" applyFont="1" applyProtection="1">
      <protection locked="0"/>
    </xf>
    <xf numFmtId="0" fontId="11" fillId="0" borderId="19" xfId="0" applyFont="1" applyBorder="1" applyAlignment="1">
      <alignment horizontal="center" vertical="center"/>
    </xf>
    <xf numFmtId="1" fontId="0" fillId="0" borderId="21" xfId="0" applyNumberFormat="1" applyBorder="1" applyAlignment="1" applyProtection="1">
      <alignment horizontal="center" vertical="center"/>
      <protection locked="0"/>
    </xf>
    <xf numFmtId="1" fontId="0" fillId="0" borderId="17" xfId="0" applyNumberFormat="1" applyBorder="1" applyAlignment="1" applyProtection="1">
      <alignment horizontal="center" vertical="center"/>
      <protection locked="0"/>
    </xf>
    <xf numFmtId="1" fontId="2" fillId="0" borderId="17" xfId="0" applyNumberFormat="1" applyFont="1" applyBorder="1" applyAlignment="1" applyProtection="1">
      <alignment horizontal="center"/>
    </xf>
    <xf numFmtId="1" fontId="58" fillId="0" borderId="16" xfId="0" applyNumberFormat="1" applyFont="1" applyBorder="1" applyAlignment="1">
      <alignment horizontal="center" vertical="center"/>
    </xf>
    <xf numFmtId="0" fontId="106" fillId="0" borderId="0" xfId="0" applyFont="1" applyBorder="1" applyAlignment="1">
      <alignment horizontal="center" vertical="center" wrapText="1"/>
    </xf>
    <xf numFmtId="0" fontId="106" fillId="0" borderId="0" xfId="0" applyFont="1" applyBorder="1" applyAlignment="1">
      <alignment horizontal="center" vertical="center"/>
    </xf>
    <xf numFmtId="3" fontId="8" fillId="0" borderId="0" xfId="0" applyNumberFormat="1" applyFont="1" applyAlignment="1">
      <alignment vertical="center"/>
    </xf>
    <xf numFmtId="3" fontId="8" fillId="0" borderId="0" xfId="0" applyNumberFormat="1" applyFont="1" applyAlignment="1">
      <alignment horizontal="center" vertical="center"/>
    </xf>
    <xf numFmtId="0" fontId="19" fillId="0" borderId="24" xfId="0" applyFont="1" applyBorder="1" applyAlignment="1" applyProtection="1">
      <alignment vertical="center"/>
      <protection locked="0"/>
    </xf>
    <xf numFmtId="0" fontId="29" fillId="0" borderId="12" xfId="0" applyFont="1" applyBorder="1" applyAlignment="1" applyProtection="1">
      <alignment vertical="center" shrinkToFit="1"/>
      <protection locked="0"/>
    </xf>
    <xf numFmtId="0" fontId="29" fillId="0" borderId="19" xfId="0" applyFont="1" applyBorder="1" applyAlignment="1">
      <alignment vertical="center"/>
    </xf>
    <xf numFmtId="165" fontId="3" fillId="0" borderId="11" xfId="0" applyNumberFormat="1" applyFont="1" applyBorder="1" applyAlignment="1">
      <alignment horizontal="center" vertical="center" wrapText="1"/>
    </xf>
    <xf numFmtId="2" fontId="0" fillId="0" borderId="18" xfId="0" applyNumberFormat="1" applyBorder="1" applyAlignment="1" applyProtection="1">
      <alignment horizontal="center" vertical="center"/>
      <protection locked="0"/>
    </xf>
    <xf numFmtId="0" fontId="48" fillId="0" borderId="18" xfId="0" applyFont="1" applyBorder="1" applyAlignment="1">
      <alignment horizontal="center" vertical="center"/>
    </xf>
    <xf numFmtId="0" fontId="69" fillId="0" borderId="17" xfId="0" applyFont="1" applyBorder="1" applyAlignment="1">
      <alignment horizontal="left" vertical="center"/>
    </xf>
    <xf numFmtId="0" fontId="28" fillId="0" borderId="0" xfId="0" applyFont="1" applyBorder="1" applyAlignment="1">
      <alignment horizontal="center" vertical="top"/>
    </xf>
    <xf numFmtId="0" fontId="16" fillId="0" borderId="24" xfId="0" applyFont="1" applyBorder="1" applyAlignment="1">
      <alignment horizontal="center" vertical="center"/>
    </xf>
    <xf numFmtId="0" fontId="29" fillId="0" borderId="24" xfId="0" applyFont="1" applyBorder="1" applyAlignment="1">
      <alignment horizontal="center" vertical="center"/>
    </xf>
    <xf numFmtId="0" fontId="29" fillId="0" borderId="12" xfId="0" applyFont="1" applyBorder="1" applyAlignment="1">
      <alignment horizontal="center" vertical="center"/>
    </xf>
    <xf numFmtId="0" fontId="20" fillId="0" borderId="24" xfId="0" applyFont="1" applyBorder="1" applyAlignment="1">
      <alignment horizontal="center" vertical="center" wrapText="1"/>
    </xf>
    <xf numFmtId="0" fontId="16" fillId="0" borderId="19" xfId="0" applyFont="1" applyBorder="1" applyAlignment="1">
      <alignment horizontal="center" vertical="center"/>
    </xf>
    <xf numFmtId="0" fontId="0" fillId="0" borderId="0" xfId="0" applyBorder="1" applyAlignment="1" applyProtection="1">
      <alignment horizontal="center" vertical="center"/>
    </xf>
    <xf numFmtId="0" fontId="28" fillId="0" borderId="11" xfId="0" applyFont="1" applyBorder="1" applyAlignment="1">
      <alignment vertical="center"/>
    </xf>
    <xf numFmtId="0" fontId="58" fillId="0" borderId="11" xfId="0" applyFont="1" applyBorder="1" applyAlignment="1">
      <alignment vertical="center"/>
    </xf>
    <xf numFmtId="0" fontId="107" fillId="0" borderId="0" xfId="0" applyFont="1" applyAlignment="1">
      <alignment horizontal="center"/>
    </xf>
    <xf numFmtId="0" fontId="3" fillId="0" borderId="17" xfId="0" applyFont="1" applyBorder="1" applyAlignment="1">
      <alignment vertical="center"/>
    </xf>
    <xf numFmtId="0" fontId="17" fillId="0" borderId="0" xfId="0" applyFont="1" applyFill="1" applyBorder="1" applyAlignment="1">
      <alignment horizontal="center" vertical="center"/>
    </xf>
    <xf numFmtId="2" fontId="3" fillId="0" borderId="17" xfId="0" applyNumberFormat="1" applyFont="1" applyFill="1" applyBorder="1" applyAlignment="1">
      <alignment horizontal="center" vertical="center"/>
    </xf>
    <xf numFmtId="0" fontId="108" fillId="0" borderId="0" xfId="0" applyFont="1" applyAlignment="1">
      <alignment horizontal="center" vertical="center"/>
    </xf>
    <xf numFmtId="0" fontId="54" fillId="0" borderId="0" xfId="0" applyFont="1" applyBorder="1"/>
    <xf numFmtId="0" fontId="54" fillId="0" borderId="17"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6" fillId="0" borderId="17" xfId="0" applyFont="1" applyBorder="1" applyAlignment="1">
      <alignment horizontal="center" vertical="center"/>
    </xf>
    <xf numFmtId="2" fontId="3" fillId="0" borderId="17" xfId="0" applyNumberFormat="1" applyFont="1" applyBorder="1" applyAlignment="1" applyProtection="1">
      <alignment horizontal="center" vertical="center"/>
      <protection locked="0"/>
    </xf>
    <xf numFmtId="2" fontId="3" fillId="0" borderId="18" xfId="0" applyNumberFormat="1" applyFont="1" applyBorder="1" applyAlignment="1" applyProtection="1">
      <alignment horizontal="center" vertical="center"/>
      <protection locked="0"/>
    </xf>
    <xf numFmtId="0" fontId="0" fillId="0" borderId="0" xfId="0" quotePrefix="1" applyBorder="1" applyAlignment="1">
      <alignment horizontal="center" vertical="center"/>
    </xf>
    <xf numFmtId="0" fontId="58" fillId="0" borderId="0" xfId="0" applyFont="1" applyFill="1" applyBorder="1" applyAlignment="1" applyProtection="1">
      <alignment horizontal="center" vertical="center"/>
      <protection locked="0"/>
    </xf>
    <xf numFmtId="0" fontId="58" fillId="0" borderId="0" xfId="0" applyFont="1" applyFill="1" applyBorder="1" applyAlignment="1">
      <alignment horizontal="center" vertical="center"/>
    </xf>
    <xf numFmtId="2" fontId="7" fillId="0" borderId="18" xfId="0" applyNumberFormat="1" applyFont="1" applyBorder="1" applyAlignment="1" applyProtection="1">
      <alignment horizontal="center" vertical="center"/>
      <protection locked="0"/>
    </xf>
    <xf numFmtId="0" fontId="6" fillId="0" borderId="0" xfId="0" applyFont="1" applyAlignment="1">
      <alignment horizontal="left"/>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6" fillId="0" borderId="0" xfId="0" applyFont="1" applyAlignment="1" applyProtection="1">
      <alignment horizontal="center"/>
      <protection locked="0"/>
    </xf>
    <xf numFmtId="0" fontId="0" fillId="0" borderId="21" xfId="0" applyFill="1" applyBorder="1" applyAlignment="1">
      <alignment horizontal="center" vertical="center"/>
    </xf>
    <xf numFmtId="0" fontId="33" fillId="0" borderId="17" xfId="0" applyFont="1" applyBorder="1" applyAlignment="1">
      <alignment horizontal="center"/>
    </xf>
    <xf numFmtId="0" fontId="48" fillId="0" borderId="21" xfId="0" applyFont="1" applyBorder="1" applyAlignment="1">
      <alignment horizontal="center" vertical="center"/>
    </xf>
    <xf numFmtId="0" fontId="48" fillId="0" borderId="17" xfId="0" applyFont="1" applyBorder="1" applyAlignment="1">
      <alignment horizontal="center" vertical="center"/>
    </xf>
    <xf numFmtId="49" fontId="34" fillId="0" borderId="24" xfId="0" applyNumberFormat="1" applyFont="1" applyBorder="1" applyAlignment="1">
      <alignment horizontal="left"/>
    </xf>
    <xf numFmtId="49" fontId="25" fillId="0" borderId="24" xfId="0" applyNumberFormat="1" applyFont="1" applyBorder="1" applyAlignment="1">
      <alignment horizontal="left"/>
    </xf>
    <xf numFmtId="49" fontId="25" fillId="0" borderId="12" xfId="0" applyNumberFormat="1" applyFont="1" applyBorder="1" applyAlignment="1">
      <alignment horizontal="left"/>
    </xf>
    <xf numFmtId="49" fontId="25" fillId="0" borderId="12" xfId="0" applyNumberFormat="1" applyFont="1" applyBorder="1" applyAlignment="1">
      <alignment horizontal="left" vertical="center"/>
    </xf>
    <xf numFmtId="49" fontId="52" fillId="0" borderId="12" xfId="0" applyNumberFormat="1" applyFont="1" applyBorder="1" applyAlignment="1">
      <alignment horizontal="left" vertical="center"/>
    </xf>
    <xf numFmtId="0" fontId="0" fillId="0" borderId="23" xfId="0" applyBorder="1" applyAlignment="1">
      <alignment horizontal="center"/>
    </xf>
    <xf numFmtId="0" fontId="28" fillId="0" borderId="14" xfId="0" applyFont="1" applyBorder="1" applyAlignment="1">
      <alignment horizontal="center" vertical="center" wrapText="1"/>
    </xf>
    <xf numFmtId="0" fontId="16" fillId="0" borderId="11" xfId="0" applyFont="1" applyBorder="1" applyAlignment="1">
      <alignment horizontal="center"/>
    </xf>
    <xf numFmtId="2" fontId="3" fillId="0" borderId="0" xfId="0" applyNumberFormat="1" applyFont="1" applyBorder="1" applyAlignment="1" applyProtection="1">
      <alignment horizontal="center" vertical="center"/>
      <protection locked="0"/>
    </xf>
    <xf numFmtId="0" fontId="3" fillId="0" borderId="0" xfId="0" applyFont="1" applyAlignment="1">
      <alignment horizontal="center"/>
    </xf>
    <xf numFmtId="0" fontId="31" fillId="0" borderId="16" xfId="0" applyFont="1" applyBorder="1" applyAlignment="1">
      <alignment horizontal="center" vertical="center" wrapText="1"/>
    </xf>
    <xf numFmtId="0" fontId="92" fillId="0" borderId="0" xfId="0" applyFont="1" applyAlignment="1">
      <alignment horizont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5" fillId="0" borderId="15" xfId="0" applyFont="1" applyBorder="1" applyAlignment="1">
      <alignment horizontal="center" vertical="center" wrapText="1"/>
    </xf>
    <xf numFmtId="0" fontId="15" fillId="0" borderId="0" xfId="0" applyFont="1" applyBorder="1" applyAlignment="1">
      <alignment horizontal="center" vertical="top"/>
    </xf>
    <xf numFmtId="0" fontId="90" fillId="0" borderId="0" xfId="0" applyFont="1" applyBorder="1" applyAlignment="1">
      <alignment horizontal="center" vertical="center"/>
    </xf>
    <xf numFmtId="2" fontId="36" fillId="0" borderId="0" xfId="0" quotePrefix="1" applyNumberFormat="1" applyFont="1" applyBorder="1" applyAlignment="1">
      <alignment horizontal="center" vertical="center"/>
    </xf>
    <xf numFmtId="2" fontId="24" fillId="0" borderId="0" xfId="0" applyNumberFormat="1" applyFont="1" applyBorder="1" applyAlignment="1">
      <alignment horizontal="center" vertical="center"/>
    </xf>
    <xf numFmtId="0" fontId="23" fillId="0" borderId="11" xfId="0" applyFont="1" applyBorder="1" applyAlignment="1">
      <alignment vertical="center"/>
    </xf>
    <xf numFmtId="2" fontId="28" fillId="0" borderId="17" xfId="0" applyNumberFormat="1" applyFont="1" applyBorder="1" applyAlignment="1">
      <alignment horizontal="center" vertical="center"/>
    </xf>
    <xf numFmtId="0" fontId="12" fillId="0" borderId="11" xfId="0" applyFont="1" applyBorder="1" applyAlignment="1">
      <alignment vertical="center"/>
    </xf>
    <xf numFmtId="0" fontId="50" fillId="0" borderId="0" xfId="0" applyFont="1" applyBorder="1" applyAlignment="1">
      <alignment vertical="center"/>
    </xf>
    <xf numFmtId="0" fontId="50" fillId="0" borderId="11" xfId="0" applyFont="1" applyBorder="1" applyAlignment="1">
      <alignment vertical="center"/>
    </xf>
    <xf numFmtId="0" fontId="51" fillId="0" borderId="12" xfId="0" applyFont="1" applyBorder="1" applyAlignment="1">
      <alignment vertical="center"/>
    </xf>
    <xf numFmtId="0" fontId="87" fillId="0" borderId="0" xfId="0" applyFont="1" applyBorder="1" applyAlignment="1">
      <alignment vertical="center"/>
    </xf>
    <xf numFmtId="0" fontId="51" fillId="0" borderId="11" xfId="0" applyFont="1" applyBorder="1" applyAlignment="1">
      <alignment vertical="center"/>
    </xf>
    <xf numFmtId="0" fontId="19" fillId="0" borderId="24" xfId="0" applyFont="1" applyBorder="1" applyAlignment="1">
      <alignment horizontal="center" vertical="center"/>
    </xf>
    <xf numFmtId="0" fontId="100" fillId="0" borderId="19" xfId="0" applyFont="1" applyBorder="1" applyAlignment="1">
      <alignment horizontal="center" vertical="center"/>
    </xf>
    <xf numFmtId="0" fontId="100" fillId="0" borderId="10" xfId="0" applyFont="1" applyBorder="1" applyAlignment="1">
      <alignment horizontal="center" vertical="center"/>
    </xf>
    <xf numFmtId="0" fontId="100" fillId="0" borderId="20" xfId="0" applyFont="1" applyBorder="1" applyAlignment="1">
      <alignment horizontal="center" vertical="center"/>
    </xf>
    <xf numFmtId="0" fontId="11" fillId="0" borderId="20" xfId="0" applyFont="1" applyBorder="1" applyAlignment="1">
      <alignment horizontal="center" vertical="center"/>
    </xf>
    <xf numFmtId="0" fontId="28" fillId="0" borderId="13" xfId="0" applyFont="1" applyBorder="1" applyAlignment="1">
      <alignment horizontal="left" vertical="center"/>
    </xf>
    <xf numFmtId="0" fontId="34" fillId="0" borderId="12" xfId="0" applyFont="1" applyBorder="1" applyAlignment="1">
      <alignment horizontal="center" vertical="center"/>
    </xf>
    <xf numFmtId="0" fontId="34" fillId="0" borderId="11" xfId="0" applyFont="1" applyBorder="1" applyAlignment="1">
      <alignment horizontal="center" vertical="center"/>
    </xf>
    <xf numFmtId="0" fontId="30" fillId="0" borderId="11" xfId="0" applyFont="1" applyBorder="1" applyAlignment="1">
      <alignment vertical="center"/>
    </xf>
    <xf numFmtId="0" fontId="15" fillId="0" borderId="11" xfId="0" applyFont="1" applyBorder="1" applyAlignment="1">
      <alignment vertical="center" wrapText="1"/>
    </xf>
    <xf numFmtId="0" fontId="63" fillId="0" borderId="11" xfId="0" applyFont="1" applyBorder="1" applyAlignment="1">
      <alignment vertical="center"/>
    </xf>
    <xf numFmtId="0" fontId="45" fillId="0" borderId="11" xfId="0" applyFont="1" applyBorder="1" applyAlignment="1">
      <alignment vertical="center"/>
    </xf>
    <xf numFmtId="0" fontId="17" fillId="0" borderId="18" xfId="0" applyFont="1" applyBorder="1" applyAlignment="1">
      <alignment horizontal="center" vertical="center"/>
    </xf>
    <xf numFmtId="0" fontId="16" fillId="0" borderId="17" xfId="0" applyFont="1" applyBorder="1" applyAlignment="1">
      <alignment horizontal="center" vertical="center" wrapText="1"/>
    </xf>
    <xf numFmtId="0" fontId="28" fillId="0" borderId="16" xfId="0" applyFont="1" applyBorder="1" applyAlignment="1">
      <alignment horizontal="left" vertical="center"/>
    </xf>
    <xf numFmtId="0" fontId="48" fillId="0" borderId="21" xfId="0" applyFont="1" applyFill="1" applyBorder="1" applyAlignment="1">
      <alignment horizontal="center" vertical="center"/>
    </xf>
    <xf numFmtId="0" fontId="69" fillId="0" borderId="22" xfId="0" applyFont="1" applyBorder="1" applyAlignment="1">
      <alignment horizontal="left" vertical="center"/>
    </xf>
    <xf numFmtId="0" fontId="53" fillId="0" borderId="18" xfId="0" applyFont="1" applyBorder="1" applyAlignment="1">
      <alignment horizontal="center" vertical="center"/>
    </xf>
    <xf numFmtId="0" fontId="53" fillId="0" borderId="10" xfId="0" applyFont="1" applyBorder="1" applyAlignment="1">
      <alignment horizontal="center" vertical="center"/>
    </xf>
    <xf numFmtId="0" fontId="34" fillId="0" borderId="12" xfId="0" applyFont="1" applyBorder="1" applyAlignment="1" applyProtection="1">
      <alignment vertical="center"/>
      <protection locked="0"/>
    </xf>
    <xf numFmtId="0" fontId="20" fillId="0" borderId="12" xfId="0" applyFont="1" applyBorder="1" applyAlignment="1" applyProtection="1">
      <alignment vertical="center"/>
      <protection locked="0"/>
    </xf>
    <xf numFmtId="0" fontId="20" fillId="0" borderId="12" xfId="0" applyFont="1" applyBorder="1" applyAlignment="1">
      <alignment vertical="center"/>
    </xf>
    <xf numFmtId="0" fontId="34" fillId="0" borderId="12" xfId="0" applyFont="1" applyBorder="1" applyAlignment="1">
      <alignment vertical="center"/>
    </xf>
    <xf numFmtId="0" fontId="20" fillId="0" borderId="19" xfId="0" applyFont="1" applyBorder="1" applyAlignment="1">
      <alignment vertical="center"/>
    </xf>
    <xf numFmtId="0" fontId="97" fillId="0" borderId="12" xfId="0" applyFont="1" applyBorder="1" applyAlignment="1" applyProtection="1">
      <alignment vertical="center"/>
      <protection locked="0"/>
    </xf>
    <xf numFmtId="0" fontId="33" fillId="0" borderId="0" xfId="0" applyFont="1" applyAlignment="1">
      <alignment horizontal="left"/>
    </xf>
    <xf numFmtId="14" fontId="12" fillId="0" borderId="20" xfId="0" quotePrefix="1" applyNumberFormat="1" applyFont="1" applyBorder="1" applyAlignment="1">
      <alignment horizontal="center" vertical="center"/>
    </xf>
    <xf numFmtId="0" fontId="12" fillId="0" borderId="16" xfId="0" applyFont="1" applyBorder="1" applyAlignment="1">
      <alignment horizontal="center" vertical="center" wrapText="1"/>
    </xf>
    <xf numFmtId="0" fontId="31" fillId="0" borderId="16" xfId="0" applyFont="1" applyBorder="1" applyAlignment="1">
      <alignment horizontal="center"/>
    </xf>
    <xf numFmtId="0" fontId="31" fillId="0" borderId="14" xfId="0" applyFont="1" applyBorder="1" applyAlignment="1">
      <alignment horizontal="center" vertical="center" wrapText="1"/>
    </xf>
    <xf numFmtId="164" fontId="28" fillId="0" borderId="11" xfId="0" applyNumberFormat="1" applyFont="1" applyBorder="1" applyAlignment="1">
      <alignment horizontal="center" vertical="center"/>
    </xf>
    <xf numFmtId="165" fontId="2" fillId="0" borderId="11" xfId="0" applyNumberFormat="1" applyFont="1" applyBorder="1" applyAlignment="1">
      <alignment horizontal="center" vertical="center"/>
    </xf>
    <xf numFmtId="0" fontId="32" fillId="0" borderId="17" xfId="0" applyFont="1" applyBorder="1"/>
    <xf numFmtId="164" fontId="58" fillId="0" borderId="18" xfId="0" applyNumberFormat="1" applyFont="1" applyBorder="1" applyAlignment="1">
      <alignment horizontal="center" vertical="center"/>
    </xf>
    <xf numFmtId="0" fontId="2" fillId="0" borderId="20" xfId="0" applyFont="1" applyBorder="1" applyAlignment="1">
      <alignment horizontal="center" vertical="center"/>
    </xf>
    <xf numFmtId="0" fontId="16" fillId="0" borderId="17" xfId="0" applyFont="1" applyFill="1" applyBorder="1" applyAlignment="1"/>
    <xf numFmtId="0" fontId="34" fillId="0" borderId="0" xfId="0" applyFont="1" applyBorder="1" applyAlignment="1">
      <alignment horizontal="left"/>
    </xf>
    <xf numFmtId="0" fontId="15" fillId="0" borderId="24" xfId="0" applyFont="1" applyBorder="1" applyAlignment="1">
      <alignment horizontal="center" vertical="center"/>
    </xf>
    <xf numFmtId="0" fontId="3" fillId="0" borderId="18" xfId="0" applyFont="1" applyBorder="1" applyAlignment="1" applyProtection="1">
      <alignment horizontal="center"/>
      <protection locked="0"/>
    </xf>
    <xf numFmtId="49" fontId="34" fillId="0" borderId="12" xfId="0" applyNumberFormat="1" applyFont="1" applyBorder="1" applyAlignment="1">
      <alignment horizontal="left"/>
    </xf>
    <xf numFmtId="0" fontId="33" fillId="0" borderId="11" xfId="34" quotePrefix="1" applyFont="1" applyBorder="1" applyAlignment="1" applyProtection="1">
      <alignment horizontal="center"/>
    </xf>
    <xf numFmtId="0" fontId="33" fillId="0" borderId="17" xfId="34" applyFont="1" applyBorder="1" applyAlignment="1" applyProtection="1">
      <alignment horizontal="center"/>
    </xf>
    <xf numFmtId="0" fontId="33" fillId="0" borderId="11" xfId="34" applyFont="1" applyBorder="1" applyAlignment="1" applyProtection="1">
      <alignment horizontal="center"/>
    </xf>
    <xf numFmtId="0" fontId="3" fillId="0" borderId="17" xfId="0" applyFont="1" applyBorder="1"/>
    <xf numFmtId="0" fontId="33" fillId="0" borderId="0" xfId="34" applyFont="1" applyAlignment="1" applyProtection="1">
      <alignment horizontal="center"/>
    </xf>
    <xf numFmtId="0" fontId="33" fillId="0" borderId="18" xfId="34" applyFont="1" applyBorder="1" applyAlignment="1" applyProtection="1">
      <alignment horizontal="center"/>
    </xf>
    <xf numFmtId="0" fontId="33" fillId="0" borderId="20" xfId="34" applyFont="1" applyBorder="1" applyAlignment="1" applyProtection="1">
      <alignment horizontal="center"/>
    </xf>
    <xf numFmtId="0" fontId="28" fillId="0" borderId="17" xfId="0" applyFont="1" applyBorder="1" applyAlignment="1">
      <alignment horizontal="left" vertical="center"/>
    </xf>
    <xf numFmtId="0" fontId="28" fillId="0" borderId="21" xfId="0" applyFont="1" applyBorder="1" applyAlignment="1">
      <alignment horizontal="left" vertical="center"/>
    </xf>
    <xf numFmtId="0" fontId="28" fillId="0" borderId="12" xfId="0" applyFont="1" applyBorder="1" applyAlignment="1">
      <alignment horizontal="left" vertical="center"/>
    </xf>
    <xf numFmtId="1" fontId="3" fillId="0" borderId="18" xfId="0" applyNumberFormat="1" applyFont="1" applyBorder="1" applyAlignment="1">
      <alignment horizontal="center" vertical="center"/>
    </xf>
    <xf numFmtId="1" fontId="3" fillId="0" borderId="10" xfId="0" applyNumberFormat="1" applyFont="1" applyBorder="1" applyAlignment="1">
      <alignment horizontal="center" vertical="center"/>
    </xf>
    <xf numFmtId="0" fontId="65" fillId="0" borderId="11" xfId="0" applyFont="1" applyBorder="1" applyAlignment="1">
      <alignment vertical="center"/>
    </xf>
    <xf numFmtId="0" fontId="57" fillId="0" borderId="0" xfId="0" applyFont="1" applyBorder="1" applyAlignment="1">
      <alignment vertical="center"/>
    </xf>
    <xf numFmtId="49" fontId="34" fillId="0" borderId="0" xfId="0" applyNumberFormat="1" applyFont="1" applyBorder="1" applyAlignment="1">
      <alignment horizontal="left"/>
    </xf>
    <xf numFmtId="0" fontId="17" fillId="0" borderId="13" xfId="0" quotePrefix="1" applyFont="1" applyFill="1" applyBorder="1" applyAlignment="1">
      <alignment horizontal="center"/>
    </xf>
    <xf numFmtId="0" fontId="16" fillId="0" borderId="0" xfId="0" applyFont="1" applyBorder="1" applyAlignment="1">
      <alignment vertical="top"/>
    </xf>
    <xf numFmtId="0" fontId="59" fillId="0" borderId="0" xfId="0" applyFont="1" applyBorder="1" applyAlignment="1">
      <alignment vertical="top"/>
    </xf>
    <xf numFmtId="0" fontId="20" fillId="0" borderId="0" xfId="0" applyFont="1" applyBorder="1" applyAlignment="1">
      <alignment vertical="top"/>
    </xf>
    <xf numFmtId="0" fontId="45" fillId="0" borderId="0" xfId="0" applyFont="1" applyBorder="1" applyAlignment="1">
      <alignment vertical="top"/>
    </xf>
    <xf numFmtId="0" fontId="34" fillId="0" borderId="10" xfId="0" applyFont="1" applyBorder="1" applyAlignment="1">
      <alignment horizontal="left"/>
    </xf>
    <xf numFmtId="0" fontId="34" fillId="0" borderId="20" xfId="0" applyFont="1" applyBorder="1" applyAlignment="1">
      <alignment horizontal="left"/>
    </xf>
    <xf numFmtId="0" fontId="11" fillId="0" borderId="0" xfId="0" applyFont="1" applyBorder="1" applyAlignment="1">
      <alignment horizontal="right"/>
    </xf>
    <xf numFmtId="2" fontId="0" fillId="0" borderId="10" xfId="0" applyNumberFormat="1" applyBorder="1" applyAlignment="1" applyProtection="1">
      <alignment horizontal="center" vertical="center"/>
      <protection locked="0"/>
    </xf>
    <xf numFmtId="2" fontId="0" fillId="0" borderId="21" xfId="0" applyNumberForma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19" fillId="0" borderId="0" xfId="0" applyFont="1" applyFill="1" applyBorder="1" applyAlignment="1">
      <alignment horizontal="center" vertical="center"/>
    </xf>
    <xf numFmtId="0" fontId="12" fillId="0" borderId="10" xfId="0" applyFont="1" applyBorder="1" applyAlignment="1">
      <alignment horizontal="right" vertical="center"/>
    </xf>
    <xf numFmtId="0" fontId="108" fillId="0" borderId="0" xfId="0" applyFont="1" applyBorder="1" applyAlignment="1">
      <alignment horizontal="center" wrapText="1"/>
    </xf>
    <xf numFmtId="0" fontId="108" fillId="0" borderId="10" xfId="0" applyFont="1" applyBorder="1" applyAlignment="1">
      <alignment horizontal="center" wrapText="1"/>
    </xf>
    <xf numFmtId="0" fontId="12" fillId="0" borderId="10" xfId="0" applyFont="1" applyBorder="1" applyAlignment="1">
      <alignment horizontal="center" wrapText="1"/>
    </xf>
    <xf numFmtId="0" fontId="35" fillId="0" borderId="16" xfId="0" quotePrefix="1" applyFont="1" applyBorder="1" applyAlignment="1">
      <alignment horizontal="center" vertical="center" wrapText="1"/>
    </xf>
    <xf numFmtId="0" fontId="35" fillId="0" borderId="13" xfId="0" quotePrefix="1" applyFont="1" applyBorder="1" applyAlignment="1">
      <alignment horizontal="center" vertical="center" wrapText="1"/>
    </xf>
    <xf numFmtId="0" fontId="35" fillId="0" borderId="15" xfId="0" quotePrefix="1" applyFont="1" applyBorder="1" applyAlignment="1">
      <alignment horizontal="center" vertical="center" wrapText="1"/>
    </xf>
    <xf numFmtId="0" fontId="35" fillId="0" borderId="15" xfId="0" quotePrefix="1" applyFont="1" applyFill="1" applyBorder="1" applyAlignment="1">
      <alignment horizontal="center" vertical="center" wrapText="1"/>
    </xf>
    <xf numFmtId="0" fontId="35" fillId="0" borderId="16" xfId="0" quotePrefix="1" applyFont="1" applyFill="1" applyBorder="1" applyAlignment="1">
      <alignment horizontal="center" vertical="center" wrapText="1"/>
    </xf>
    <xf numFmtId="0" fontId="35" fillId="0" borderId="13" xfId="0" quotePrefix="1" applyFont="1" applyFill="1" applyBorder="1" applyAlignment="1">
      <alignment horizontal="center" vertical="center" wrapText="1"/>
    </xf>
    <xf numFmtId="0" fontId="53" fillId="0" borderId="17" xfId="0" applyFont="1" applyBorder="1" applyAlignment="1">
      <alignment horizontal="center" vertical="center"/>
    </xf>
    <xf numFmtId="0" fontId="20" fillId="0" borderId="0" xfId="0" applyFont="1" applyAlignment="1">
      <alignment horizontal="right"/>
    </xf>
    <xf numFmtId="0" fontId="0" fillId="0" borderId="21" xfId="0" applyBorder="1" applyAlignment="1">
      <alignment horizontal="right"/>
    </xf>
    <xf numFmtId="165" fontId="3" fillId="0" borderId="17" xfId="0" applyNumberFormat="1" applyFont="1" applyBorder="1" applyAlignment="1">
      <alignment horizontal="center" vertical="center"/>
    </xf>
    <xf numFmtId="0" fontId="20" fillId="0" borderId="17" xfId="0" applyFont="1" applyFill="1" applyBorder="1" applyAlignment="1">
      <alignment horizontal="center" vertical="center"/>
    </xf>
    <xf numFmtId="165" fontId="0" fillId="0" borderId="21" xfId="0" applyNumberFormat="1" applyBorder="1" applyAlignment="1">
      <alignment horizontal="center" vertical="center"/>
    </xf>
    <xf numFmtId="0" fontId="41" fillId="0" borderId="17" xfId="0" applyFont="1" applyBorder="1" applyAlignment="1" applyProtection="1">
      <alignment horizontal="center" vertical="center"/>
      <protection locked="0"/>
    </xf>
    <xf numFmtId="0" fontId="41" fillId="0" borderId="17" xfId="0" quotePrefix="1" applyFont="1" applyBorder="1" applyAlignment="1" applyProtection="1">
      <alignment horizontal="center" vertical="center"/>
      <protection locked="0"/>
    </xf>
    <xf numFmtId="0" fontId="55" fillId="0" borderId="16" xfId="0" quotePrefix="1" applyFont="1" applyBorder="1" applyAlignment="1">
      <alignment horizontal="center" vertical="center" wrapText="1"/>
    </xf>
    <xf numFmtId="0" fontId="55" fillId="0" borderId="13" xfId="0" quotePrefix="1" applyFont="1" applyBorder="1" applyAlignment="1">
      <alignment horizontal="center" vertical="center" wrapText="1"/>
    </xf>
    <xf numFmtId="0" fontId="1" fillId="0" borderId="0" xfId="0" applyFont="1"/>
    <xf numFmtId="0" fontId="3" fillId="0" borderId="12" xfId="0" applyFont="1" applyBorder="1" applyAlignment="1" applyProtection="1">
      <alignment horizontal="center"/>
      <protection locked="0"/>
    </xf>
    <xf numFmtId="0" fontId="0" fillId="0" borderId="17" xfId="0" applyBorder="1" applyAlignment="1">
      <alignment horizontal="center" vertical="center" wrapText="1"/>
    </xf>
    <xf numFmtId="0" fontId="16" fillId="0" borderId="11" xfId="0" applyFont="1" applyBorder="1" applyAlignment="1">
      <alignment horizontal="center" vertical="center"/>
    </xf>
    <xf numFmtId="0" fontId="16" fillId="0" borderId="14" xfId="0" applyFont="1" applyFill="1" applyBorder="1" applyAlignment="1">
      <alignment horizontal="center" vertical="center"/>
    </xf>
    <xf numFmtId="0" fontId="16" fillId="0" borderId="0" xfId="0" applyFont="1" applyBorder="1" applyAlignment="1">
      <alignment horizontal="center" vertical="center"/>
    </xf>
    <xf numFmtId="0" fontId="41" fillId="0" borderId="21" xfId="0" applyFont="1" applyBorder="1" applyAlignment="1">
      <alignment horizontal="center" vertical="center"/>
    </xf>
    <xf numFmtId="0" fontId="41" fillId="0" borderId="22" xfId="0" applyFont="1" applyBorder="1" applyAlignment="1">
      <alignment horizontal="center" vertical="center"/>
    </xf>
    <xf numFmtId="0" fontId="54" fillId="0" borderId="21" xfId="0" applyFont="1" applyBorder="1" applyAlignment="1">
      <alignment horizontal="center" vertical="center"/>
    </xf>
    <xf numFmtId="0" fontId="92" fillId="0" borderId="0" xfId="0" applyFont="1" applyBorder="1" applyAlignment="1">
      <alignment horizontal="center" vertical="top" wrapText="1"/>
    </xf>
    <xf numFmtId="0" fontId="15" fillId="0" borderId="20" xfId="0" applyFont="1" applyFill="1" applyBorder="1" applyAlignment="1">
      <alignment horizontal="center" vertical="center"/>
    </xf>
    <xf numFmtId="0" fontId="53" fillId="0" borderId="11" xfId="0" applyFont="1" applyBorder="1" applyAlignment="1">
      <alignment horizontal="center" vertical="center"/>
    </xf>
    <xf numFmtId="2" fontId="3" fillId="0" borderId="12" xfId="0" applyNumberFormat="1" applyFont="1" applyBorder="1" applyAlignment="1" applyProtection="1">
      <alignment horizontal="center" vertical="center"/>
      <protection locked="0"/>
    </xf>
    <xf numFmtId="164" fontId="0" fillId="0" borderId="19" xfId="0" applyNumberFormat="1" applyBorder="1" applyAlignment="1">
      <alignment horizontal="center" vertical="center"/>
    </xf>
    <xf numFmtId="0" fontId="33" fillId="0" borderId="0" xfId="0" applyFont="1" applyFill="1" applyBorder="1" applyAlignment="1">
      <alignment horizontal="center" vertical="center"/>
    </xf>
    <xf numFmtId="2" fontId="7" fillId="0" borderId="0" xfId="0" applyNumberFormat="1" applyFont="1" applyBorder="1" applyAlignment="1">
      <alignment horizontal="right" vertical="center"/>
    </xf>
    <xf numFmtId="0" fontId="106" fillId="0" borderId="10" xfId="0" applyFont="1" applyBorder="1" applyAlignment="1">
      <alignment horizontal="center" vertical="center"/>
    </xf>
    <xf numFmtId="0" fontId="19" fillId="0" borderId="10" xfId="0" applyFont="1" applyBorder="1" applyAlignment="1">
      <alignment horizontal="center" vertical="center"/>
    </xf>
    <xf numFmtId="0" fontId="100" fillId="0" borderId="14" xfId="0" applyFont="1" applyBorder="1" applyAlignment="1">
      <alignment horizontal="center" vertical="center"/>
    </xf>
    <xf numFmtId="0" fontId="31" fillId="0" borderId="21"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49" fontId="34" fillId="0" borderId="12" xfId="0" applyNumberFormat="1" applyFont="1" applyBorder="1" applyAlignment="1">
      <alignment horizontal="left" vertical="justify"/>
    </xf>
    <xf numFmtId="2" fontId="3" fillId="0" borderId="21" xfId="0" applyNumberFormat="1" applyFont="1" applyBorder="1" applyAlignment="1" applyProtection="1">
      <alignment horizontal="center" vertical="center"/>
      <protection locked="0"/>
    </xf>
    <xf numFmtId="2" fontId="3" fillId="0" borderId="21" xfId="0" applyNumberFormat="1" applyFont="1" applyBorder="1" applyAlignment="1">
      <alignment horizontal="center" vertical="center"/>
    </xf>
    <xf numFmtId="2" fontId="7" fillId="0" borderId="21" xfId="0" applyNumberFormat="1" applyFont="1" applyBorder="1" applyAlignment="1" applyProtection="1">
      <alignment horizontal="center" vertical="center"/>
      <protection locked="0"/>
    </xf>
    <xf numFmtId="0" fontId="17" fillId="0" borderId="21" xfId="0" applyFont="1" applyBorder="1" applyAlignment="1" applyProtection="1">
      <alignment horizontal="center" vertical="center" wrapText="1"/>
      <protection locked="0"/>
    </xf>
    <xf numFmtId="0" fontId="15" fillId="0" borderId="22" xfId="0" applyFont="1" applyBorder="1" applyAlignment="1">
      <alignment horizontal="center" vertical="center" wrapText="1"/>
    </xf>
    <xf numFmtId="0" fontId="15" fillId="0" borderId="19" xfId="0" applyFont="1" applyBorder="1" applyAlignment="1">
      <alignment horizontal="center" vertical="center" wrapText="1"/>
    </xf>
    <xf numFmtId="2" fontId="3" fillId="0" borderId="11" xfId="0" applyNumberFormat="1" applyFont="1" applyBorder="1" applyAlignment="1">
      <alignment horizontal="center" vertical="center"/>
    </xf>
    <xf numFmtId="0" fontId="10" fillId="0" borderId="12" xfId="0" applyFont="1" applyBorder="1" applyAlignment="1">
      <alignment horizontal="center" vertical="center"/>
    </xf>
    <xf numFmtId="0" fontId="17" fillId="0" borderId="12"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3" fillId="0" borderId="12" xfId="0" quotePrefix="1" applyFont="1" applyBorder="1" applyAlignment="1">
      <alignment horizontal="center" vertical="center"/>
    </xf>
    <xf numFmtId="0" fontId="3" fillId="0" borderId="17" xfId="0" quotePrefix="1" applyFont="1" applyBorder="1" applyAlignment="1">
      <alignment horizontal="center" vertical="center"/>
    </xf>
    <xf numFmtId="0" fontId="21" fillId="0" borderId="21" xfId="0" applyFont="1" applyBorder="1" applyAlignment="1">
      <alignment horizontal="center" vertical="center" wrapText="1"/>
    </xf>
    <xf numFmtId="0" fontId="9" fillId="0" borderId="17" xfId="0" applyFont="1" applyBorder="1" applyAlignment="1">
      <alignment horizontal="center" vertical="center"/>
    </xf>
    <xf numFmtId="16" fontId="9" fillId="0" borderId="21" xfId="0" quotePrefix="1" applyNumberFormat="1" applyFont="1" applyBorder="1" applyAlignment="1">
      <alignment horizontal="center" vertical="center"/>
    </xf>
    <xf numFmtId="0" fontId="9" fillId="0" borderId="17" xfId="0" quotePrefix="1" applyFont="1" applyBorder="1" applyAlignment="1">
      <alignment horizontal="center" vertical="center"/>
    </xf>
    <xf numFmtId="0" fontId="9" fillId="0" borderId="11" xfId="0" applyFont="1" applyBorder="1" applyAlignment="1">
      <alignment horizontal="center" vertical="center"/>
    </xf>
    <xf numFmtId="0" fontId="58" fillId="0" borderId="16" xfId="0" quotePrefix="1" applyFont="1" applyBorder="1" applyAlignment="1">
      <alignment horizontal="center" vertical="center"/>
    </xf>
    <xf numFmtId="0" fontId="31" fillId="0" borderId="11" xfId="0" applyFont="1" applyBorder="1" applyAlignment="1">
      <alignment horizontal="center" vertical="center"/>
    </xf>
    <xf numFmtId="164" fontId="3" fillId="0" borderId="0" xfId="0" applyNumberFormat="1" applyFont="1" applyBorder="1" applyAlignment="1">
      <alignment horizontal="center" vertical="center"/>
    </xf>
    <xf numFmtId="0" fontId="32" fillId="0" borderId="17" xfId="0" applyFont="1" applyBorder="1" applyAlignment="1">
      <alignment horizontal="center" vertical="center" wrapText="1"/>
    </xf>
    <xf numFmtId="2" fontId="3" fillId="0" borderId="20" xfId="0" applyNumberFormat="1" applyFont="1" applyBorder="1" applyAlignment="1">
      <alignment horizontal="center" vertical="center"/>
    </xf>
    <xf numFmtId="164" fontId="19" fillId="0" borderId="13" xfId="0" applyNumberFormat="1" applyFont="1" applyBorder="1" applyAlignment="1">
      <alignment horizontal="center" vertical="center"/>
    </xf>
    <xf numFmtId="2" fontId="19" fillId="0" borderId="14" xfId="0" applyNumberFormat="1" applyFont="1" applyBorder="1" applyAlignment="1">
      <alignment horizontal="center" vertical="center"/>
    </xf>
    <xf numFmtId="0" fontId="32" fillId="0" borderId="21" xfId="0" quotePrefix="1" applyFont="1" applyBorder="1" applyAlignment="1">
      <alignment horizontal="center" vertical="center"/>
    </xf>
    <xf numFmtId="0" fontId="3" fillId="0" borderId="0" xfId="0" quotePrefix="1" applyFont="1" applyBorder="1" applyAlignment="1">
      <alignment horizontal="center" vertical="center"/>
    </xf>
    <xf numFmtId="164" fontId="3" fillId="0" borderId="0" xfId="0" quotePrefix="1" applyNumberFormat="1" applyFont="1" applyBorder="1" applyAlignment="1">
      <alignment horizontal="center" vertical="center"/>
    </xf>
    <xf numFmtId="164" fontId="3" fillId="0" borderId="0" xfId="0" quotePrefix="1" applyNumberFormat="1" applyFont="1" applyBorder="1" applyAlignment="1" applyProtection="1">
      <alignment horizontal="center" vertical="center"/>
      <protection locked="0"/>
    </xf>
    <xf numFmtId="164" fontId="3" fillId="0" borderId="12" xfId="0" quotePrefix="1" applyNumberFormat="1" applyFont="1" applyBorder="1" applyAlignment="1" applyProtection="1">
      <alignment horizontal="center" vertical="center"/>
      <protection locked="0"/>
    </xf>
    <xf numFmtId="164" fontId="3" fillId="0" borderId="12" xfId="0" applyNumberFormat="1" applyFont="1" applyBorder="1" applyAlignment="1" applyProtection="1">
      <alignment horizontal="center" vertical="center"/>
      <protection locked="0"/>
    </xf>
    <xf numFmtId="0" fontId="24" fillId="0" borderId="16" xfId="0" applyFont="1" applyFill="1" applyBorder="1" applyAlignment="1">
      <alignment horizontal="center" vertical="center"/>
    </xf>
    <xf numFmtId="2" fontId="19" fillId="0" borderId="20" xfId="0" applyNumberFormat="1" applyFont="1" applyBorder="1" applyAlignment="1">
      <alignment horizontal="center" vertical="center"/>
    </xf>
    <xf numFmtId="0" fontId="24" fillId="0" borderId="16" xfId="0" applyFont="1" applyBorder="1" applyAlignment="1">
      <alignment vertical="center"/>
    </xf>
    <xf numFmtId="0" fontId="20"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20" fillId="0" borderId="0" xfId="0" applyFont="1" applyBorder="1" applyAlignment="1" applyProtection="1">
      <alignment horizontal="right" vertical="center"/>
      <protection locked="0"/>
    </xf>
    <xf numFmtId="0" fontId="57" fillId="0" borderId="21" xfId="0" applyFont="1" applyBorder="1" applyAlignment="1" applyProtection="1">
      <alignment horizontal="left" vertical="center" wrapText="1"/>
      <protection locked="0"/>
    </xf>
    <xf numFmtId="0" fontId="23" fillId="0" borderId="17" xfId="0" applyFont="1" applyBorder="1" applyAlignment="1" applyProtection="1">
      <alignment vertical="center"/>
      <protection locked="0"/>
    </xf>
    <xf numFmtId="0" fontId="12" fillId="0" borderId="17" xfId="0" applyFont="1" applyBorder="1" applyAlignment="1" applyProtection="1">
      <alignment vertical="center"/>
      <protection locked="0"/>
    </xf>
    <xf numFmtId="0" fontId="12" fillId="0" borderId="18"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23" fillId="0" borderId="17" xfId="0" applyFont="1" applyBorder="1" applyAlignment="1" applyProtection="1">
      <alignment horizontal="left" vertical="center"/>
      <protection locked="0"/>
    </xf>
    <xf numFmtId="0" fontId="105" fillId="0" borderId="0" xfId="0" applyFont="1" applyBorder="1" applyAlignment="1" applyProtection="1">
      <alignment horizontal="left" vertical="center"/>
      <protection locked="0"/>
    </xf>
    <xf numFmtId="0" fontId="53" fillId="0" borderId="0" xfId="0" applyFont="1" applyBorder="1" applyAlignment="1">
      <alignment horizontal="left" vertical="center"/>
    </xf>
    <xf numFmtId="0" fontId="0" fillId="0" borderId="0" xfId="0" applyBorder="1" applyAlignment="1">
      <alignment horizontal="left" vertical="center"/>
    </xf>
    <xf numFmtId="0" fontId="53" fillId="0" borderId="0" xfId="0" applyFont="1" applyAlignment="1">
      <alignment horizontal="left" vertical="center"/>
    </xf>
    <xf numFmtId="0" fontId="0" fillId="0" borderId="0" xfId="0" applyAlignment="1">
      <alignment horizontal="left" vertical="center"/>
    </xf>
    <xf numFmtId="0" fontId="57" fillId="0" borderId="17" xfId="0" applyFont="1" applyBorder="1" applyAlignment="1">
      <alignment vertical="center"/>
    </xf>
    <xf numFmtId="0" fontId="57" fillId="0" borderId="21" xfId="0" applyFont="1" applyBorder="1" applyAlignment="1">
      <alignment horizontal="center" vertical="center"/>
    </xf>
    <xf numFmtId="0" fontId="57" fillId="0" borderId="11" xfId="0" applyFont="1" applyBorder="1" applyAlignment="1">
      <alignment horizontal="center" vertical="center"/>
    </xf>
    <xf numFmtId="0" fontId="23" fillId="0" borderId="17"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6" fillId="0" borderId="0" xfId="0" applyFont="1" applyAlignment="1">
      <alignment vertical="center"/>
    </xf>
    <xf numFmtId="0" fontId="0" fillId="0" borderId="22" xfId="0" applyBorder="1" applyAlignment="1" applyProtection="1">
      <alignment horizontal="left"/>
      <protection locked="0"/>
    </xf>
    <xf numFmtId="0" fontId="0" fillId="0" borderId="22" xfId="0" applyBorder="1" applyAlignment="1">
      <alignment horizontal="left"/>
    </xf>
    <xf numFmtId="0" fontId="15" fillId="0" borderId="22" xfId="0" applyFont="1" applyFill="1" applyBorder="1" applyAlignment="1">
      <alignment horizontal="left" vertical="center"/>
    </xf>
    <xf numFmtId="0" fontId="3" fillId="0" borderId="17" xfId="0" applyFont="1" applyFill="1" applyBorder="1" applyAlignment="1" applyProtection="1">
      <alignment horizontal="center" vertical="center"/>
      <protection locked="0"/>
    </xf>
    <xf numFmtId="0" fontId="60" fillId="0" borderId="11" xfId="0" applyFont="1" applyBorder="1" applyAlignment="1">
      <alignment horizontal="center" vertical="center"/>
    </xf>
    <xf numFmtId="0" fontId="68" fillId="0" borderId="17" xfId="0" applyFont="1" applyBorder="1" applyAlignment="1">
      <alignment horizontal="center" vertical="center"/>
    </xf>
    <xf numFmtId="0" fontId="57" fillId="0" borderId="17" xfId="0" applyFont="1" applyBorder="1" applyAlignment="1">
      <alignment horizontal="center" vertical="center"/>
    </xf>
    <xf numFmtId="0" fontId="16" fillId="0" borderId="22"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0" fontId="32" fillId="0" borderId="16" xfId="0" quotePrefix="1" applyFont="1" applyBorder="1" applyAlignment="1">
      <alignment horizontal="center" vertical="center"/>
    </xf>
    <xf numFmtId="0" fontId="32" fillId="0" borderId="18" xfId="0" applyFont="1" applyBorder="1" applyAlignment="1">
      <alignment horizontal="center" vertical="center"/>
    </xf>
    <xf numFmtId="0" fontId="33" fillId="0" borderId="12" xfId="0" applyFont="1" applyBorder="1" applyAlignment="1" applyProtection="1">
      <alignment horizontal="left" vertical="center"/>
      <protection locked="0"/>
    </xf>
    <xf numFmtId="0" fontId="33" fillId="0" borderId="19" xfId="0" applyFont="1" applyBorder="1" applyAlignment="1" applyProtection="1">
      <alignment horizontal="left" vertical="center"/>
      <protection locked="0"/>
    </xf>
    <xf numFmtId="0" fontId="2" fillId="0" borderId="18" xfId="0" applyFont="1" applyBorder="1" applyAlignment="1">
      <alignment horizontal="center" vertical="center"/>
    </xf>
    <xf numFmtId="164" fontId="0" fillId="0" borderId="11" xfId="0" quotePrefix="1" applyNumberFormat="1" applyBorder="1" applyAlignment="1" applyProtection="1">
      <alignment horizontal="center" vertical="center"/>
      <protection locked="0"/>
    </xf>
    <xf numFmtId="0" fontId="53" fillId="0" borderId="21" xfId="0" applyFont="1" applyBorder="1" applyAlignment="1">
      <alignment horizontal="center" vertical="center"/>
    </xf>
    <xf numFmtId="0" fontId="0" fillId="0" borderId="22" xfId="0" applyBorder="1" applyAlignment="1" applyProtection="1">
      <alignment horizontal="center" vertical="center"/>
      <protection locked="0"/>
    </xf>
    <xf numFmtId="2" fontId="16" fillId="0" borderId="17" xfId="0" applyNumberFormat="1" applyFont="1" applyBorder="1" applyAlignment="1">
      <alignment horizontal="center" vertical="center"/>
    </xf>
    <xf numFmtId="0" fontId="58" fillId="0" borderId="0" xfId="0" applyFont="1" applyBorder="1" applyAlignment="1">
      <alignment horizontal="center" vertical="center"/>
    </xf>
    <xf numFmtId="0" fontId="29" fillId="0" borderId="17" xfId="0" applyFont="1" applyBorder="1" applyAlignment="1">
      <alignment vertical="center" wrapText="1"/>
    </xf>
    <xf numFmtId="0" fontId="15" fillId="0" borderId="11" xfId="0" applyFont="1" applyBorder="1" applyAlignment="1">
      <alignment wrapText="1"/>
    </xf>
    <xf numFmtId="0" fontId="16" fillId="0" borderId="23" xfId="0" applyFont="1" applyBorder="1" applyAlignment="1">
      <alignment horizontal="center" vertical="center" wrapText="1"/>
    </xf>
    <xf numFmtId="0" fontId="16" fillId="0" borderId="22" xfId="0" applyFont="1" applyBorder="1" applyAlignment="1">
      <alignment horizontal="center" vertical="center" wrapText="1"/>
    </xf>
    <xf numFmtId="0" fontId="12" fillId="0" borderId="21" xfId="0" applyFont="1" applyBorder="1" applyAlignment="1">
      <alignment horizontal="center" vertical="center" wrapText="1"/>
    </xf>
    <xf numFmtId="0" fontId="70" fillId="0" borderId="15" xfId="0" applyFont="1" applyBorder="1" applyAlignment="1">
      <alignment horizontal="center" vertical="center"/>
    </xf>
    <xf numFmtId="0" fontId="70" fillId="0" borderId="16" xfId="0" applyFont="1" applyBorder="1" applyAlignment="1">
      <alignment horizontal="center" vertical="center"/>
    </xf>
    <xf numFmtId="0" fontId="70" fillId="0" borderId="13" xfId="0" applyFont="1" applyBorder="1" applyAlignment="1">
      <alignment horizontal="center" vertical="center"/>
    </xf>
    <xf numFmtId="0" fontId="70" fillId="0" borderId="21" xfId="0" applyFont="1" applyBorder="1" applyAlignment="1">
      <alignment horizontal="center" vertical="center" wrapText="1"/>
    </xf>
    <xf numFmtId="0" fontId="70" fillId="0" borderId="23" xfId="0" applyFont="1" applyBorder="1" applyAlignment="1">
      <alignment horizontal="center" vertical="center" wrapText="1"/>
    </xf>
    <xf numFmtId="0" fontId="21" fillId="0" borderId="22" xfId="0" applyFont="1" applyBorder="1" applyAlignment="1">
      <alignment horizontal="center" vertical="center" wrapText="1"/>
    </xf>
    <xf numFmtId="1" fontId="16" fillId="0" borderId="21" xfId="0" applyNumberFormat="1" applyFont="1" applyBorder="1" applyAlignment="1">
      <alignment horizontal="center" vertical="center" wrapText="1"/>
    </xf>
    <xf numFmtId="1" fontId="0" fillId="0" borderId="11" xfId="0" applyNumberFormat="1" applyBorder="1" applyAlignment="1">
      <alignment horizontal="center" vertical="center"/>
    </xf>
    <xf numFmtId="1" fontId="0" fillId="0" borderId="20" xfId="0" applyNumberFormat="1" applyBorder="1" applyAlignment="1">
      <alignment horizontal="center" vertical="center"/>
    </xf>
    <xf numFmtId="0" fontId="70" fillId="0" borderId="16" xfId="0" applyFont="1" applyBorder="1" applyAlignment="1">
      <alignment horizontal="center" vertical="center" wrapText="1"/>
    </xf>
    <xf numFmtId="0" fontId="0" fillId="0" borderId="22" xfId="0" applyBorder="1" applyAlignment="1"/>
    <xf numFmtId="0" fontId="33" fillId="0" borderId="10" xfId="0" applyFont="1" applyBorder="1" applyAlignment="1">
      <alignment horizontal="center" vertical="top"/>
    </xf>
    <xf numFmtId="0" fontId="20" fillId="0" borderId="12" xfId="0" applyFont="1" applyBorder="1" applyAlignment="1">
      <alignment horizontal="center" vertical="justify"/>
    </xf>
    <xf numFmtId="0" fontId="20" fillId="0" borderId="19" xfId="0" applyFont="1" applyBorder="1" applyAlignment="1">
      <alignment horizontal="center" vertical="justify"/>
    </xf>
    <xf numFmtId="0" fontId="12" fillId="0" borderId="16" xfId="0" quotePrefix="1" applyFont="1" applyBorder="1" applyAlignment="1">
      <alignment horizontal="center" vertical="center" wrapText="1"/>
    </xf>
    <xf numFmtId="0" fontId="12" fillId="0" borderId="13" xfId="0" quotePrefix="1" applyFont="1" applyBorder="1" applyAlignment="1">
      <alignment horizontal="center" vertical="center" wrapText="1"/>
    </xf>
    <xf numFmtId="0" fontId="12" fillId="0" borderId="14" xfId="0" quotePrefix="1" applyFont="1" applyBorder="1" applyAlignment="1">
      <alignment horizontal="center" vertical="center" wrapText="1"/>
    </xf>
    <xf numFmtId="0" fontId="2" fillId="0" borderId="17" xfId="0" applyFont="1" applyBorder="1" applyAlignment="1" applyProtection="1">
      <alignment horizontal="center" vertical="center"/>
    </xf>
    <xf numFmtId="0" fontId="113" fillId="0" borderId="17" xfId="0" applyFont="1" applyBorder="1" applyAlignment="1">
      <alignment horizontal="center" vertical="center"/>
    </xf>
    <xf numFmtId="1" fontId="28" fillId="0" borderId="16" xfId="0" applyNumberFormat="1" applyFont="1" applyBorder="1" applyAlignment="1">
      <alignment horizontal="center" vertical="center"/>
    </xf>
    <xf numFmtId="0" fontId="20" fillId="0" borderId="11" xfId="0" applyFont="1" applyBorder="1"/>
    <xf numFmtId="0" fontId="13" fillId="0" borderId="22" xfId="0" applyFont="1" applyBorder="1" applyAlignment="1"/>
    <xf numFmtId="0" fontId="29" fillId="0" borderId="18" xfId="0" applyFont="1" applyBorder="1" applyAlignment="1">
      <alignment horizontal="center" vertical="center"/>
    </xf>
    <xf numFmtId="0" fontId="33" fillId="0" borderId="18" xfId="0" applyFont="1" applyBorder="1" applyAlignment="1">
      <alignment horizontal="center" vertical="center"/>
    </xf>
    <xf numFmtId="0" fontId="14" fillId="0" borderId="0" xfId="0" applyFont="1" applyAlignment="1">
      <alignment horizontal="right"/>
    </xf>
    <xf numFmtId="0" fontId="14" fillId="0" borderId="0" xfId="0" applyFont="1"/>
    <xf numFmtId="0" fontId="29" fillId="0" borderId="16" xfId="0" applyFont="1" applyBorder="1" applyAlignment="1">
      <alignment horizontal="center" vertical="center" wrapText="1"/>
    </xf>
    <xf numFmtId="0" fontId="48" fillId="0" borderId="0" xfId="0" applyFont="1" applyAlignment="1">
      <alignment horizontal="left" vertical="top"/>
    </xf>
    <xf numFmtId="0" fontId="23" fillId="0" borderId="15" xfId="0" applyFont="1" applyBorder="1" applyAlignment="1" applyProtection="1">
      <alignment horizontal="center" vertical="center"/>
      <protection locked="0"/>
    </xf>
    <xf numFmtId="0" fontId="90" fillId="0" borderId="12" xfId="0" applyFont="1" applyBorder="1" applyAlignment="1">
      <alignment horizontal="center" vertical="center"/>
    </xf>
    <xf numFmtId="0" fontId="14" fillId="0" borderId="0" xfId="0" applyFont="1" applyAlignment="1" applyProtection="1">
      <protection locked="0"/>
    </xf>
    <xf numFmtId="49" fontId="57" fillId="0" borderId="12" xfId="0" applyNumberFormat="1" applyFont="1" applyBorder="1" applyAlignment="1">
      <alignment horizontal="left" vertical="top"/>
    </xf>
    <xf numFmtId="49" fontId="34" fillId="0" borderId="19" xfId="0" applyNumberFormat="1" applyFont="1" applyBorder="1" applyAlignment="1">
      <alignment horizontal="left"/>
    </xf>
    <xf numFmtId="0" fontId="14" fillId="0" borderId="0" xfId="0" applyFont="1" applyProtection="1">
      <protection locked="0"/>
    </xf>
    <xf numFmtId="49" fontId="34" fillId="0" borderId="10" xfId="0" applyNumberFormat="1" applyFont="1" applyBorder="1" applyAlignment="1">
      <alignment horizontal="left"/>
    </xf>
    <xf numFmtId="0" fontId="19" fillId="0" borderId="17" xfId="0" applyFont="1" applyBorder="1" applyAlignment="1" applyProtection="1">
      <alignment horizontal="left" vertical="center"/>
      <protection locked="0"/>
    </xf>
    <xf numFmtId="0" fontId="115" fillId="0" borderId="0" xfId="0" applyFont="1" applyBorder="1" applyAlignment="1">
      <alignment horizontal="center" vertical="center" wrapText="1"/>
    </xf>
    <xf numFmtId="0" fontId="115" fillId="0" borderId="21" xfId="0" applyFont="1" applyBorder="1" applyAlignment="1">
      <alignment horizontal="center" vertical="center" wrapText="1"/>
    </xf>
    <xf numFmtId="0" fontId="115" fillId="0" borderId="12" xfId="0" applyFont="1" applyBorder="1" applyAlignment="1">
      <alignment horizontal="center" vertical="center" wrapText="1"/>
    </xf>
    <xf numFmtId="0" fontId="115" fillId="0" borderId="0" xfId="0" applyFont="1" applyAlignment="1">
      <alignment horizontal="center" vertical="center" wrapText="1"/>
    </xf>
    <xf numFmtId="0" fontId="10" fillId="0" borderId="16" xfId="0" applyFont="1" applyBorder="1" applyAlignment="1">
      <alignment horizontal="center" vertical="center" wrapText="1"/>
    </xf>
    <xf numFmtId="0" fontId="31" fillId="0" borderId="16" xfId="0" applyFont="1" applyBorder="1" applyAlignment="1">
      <alignment horizontal="center" vertical="center" shrinkToFit="1"/>
    </xf>
    <xf numFmtId="0" fontId="112" fillId="0" borderId="16" xfId="0" applyFont="1" applyBorder="1" applyAlignment="1">
      <alignment horizontal="center" vertical="center" shrinkToFit="1"/>
    </xf>
    <xf numFmtId="0" fontId="20" fillId="0" borderId="16" xfId="0" applyFont="1" applyBorder="1" applyAlignment="1">
      <alignment horizontal="center" vertical="center" shrinkToFit="1"/>
    </xf>
    <xf numFmtId="0" fontId="29" fillId="0" borderId="16" xfId="0" applyFont="1" applyBorder="1" applyAlignment="1">
      <alignment horizontal="center" vertical="center" shrinkToFit="1"/>
    </xf>
    <xf numFmtId="0" fontId="33" fillId="0" borderId="16" xfId="0" applyFont="1" applyBorder="1" applyAlignment="1">
      <alignment horizontal="center" vertical="center" shrinkToFit="1"/>
    </xf>
    <xf numFmtId="0" fontId="12" fillId="0" borderId="24" xfId="0" applyFont="1" applyBorder="1" applyAlignment="1">
      <alignment vertical="center"/>
    </xf>
    <xf numFmtId="0" fontId="12" fillId="0" borderId="12" xfId="0" applyFont="1" applyBorder="1" applyAlignment="1">
      <alignment vertical="center"/>
    </xf>
    <xf numFmtId="0" fontId="31" fillId="0" borderId="16" xfId="0" applyFont="1" applyBorder="1" applyAlignment="1">
      <alignment horizontal="center" vertical="center"/>
    </xf>
    <xf numFmtId="0" fontId="31" fillId="0" borderId="0" xfId="0" applyFont="1" applyBorder="1" applyAlignment="1">
      <alignment horizontal="center" vertical="center"/>
    </xf>
    <xf numFmtId="0" fontId="97" fillId="0" borderId="17" xfId="0" applyFont="1" applyBorder="1" applyAlignment="1">
      <alignment horizontal="center" vertical="center"/>
    </xf>
    <xf numFmtId="0" fontId="14" fillId="0" borderId="0" xfId="0" applyFont="1" applyBorder="1" applyAlignment="1">
      <alignment horizontal="center" vertical="center"/>
    </xf>
    <xf numFmtId="0" fontId="0" fillId="0" borderId="18" xfId="0" applyBorder="1" applyAlignment="1">
      <alignment horizontal="center" vertical="center" wrapText="1"/>
    </xf>
    <xf numFmtId="0" fontId="20" fillId="0" borderId="13" xfId="0" applyFont="1" applyBorder="1" applyAlignment="1">
      <alignment horizontal="center" vertical="center"/>
    </xf>
    <xf numFmtId="2" fontId="19" fillId="0" borderId="11" xfId="0" applyNumberFormat="1" applyFont="1" applyBorder="1" applyAlignment="1">
      <alignment horizontal="center" vertical="center"/>
    </xf>
    <xf numFmtId="0" fontId="15" fillId="0" borderId="11" xfId="0" applyFont="1" applyBorder="1" applyAlignment="1">
      <alignment vertical="center" shrinkToFit="1"/>
    </xf>
    <xf numFmtId="0" fontId="15" fillId="0" borderId="11" xfId="0" applyFont="1" applyBorder="1" applyAlignment="1">
      <alignment vertical="top" wrapText="1"/>
    </xf>
    <xf numFmtId="0" fontId="27" fillId="0" borderId="16" xfId="0" quotePrefix="1" applyFont="1" applyFill="1" applyBorder="1" applyAlignment="1">
      <alignment horizontal="center" vertical="center" wrapText="1"/>
    </xf>
    <xf numFmtId="0" fontId="54" fillId="0" borderId="15" xfId="0" applyFont="1" applyBorder="1" applyAlignment="1">
      <alignment horizontal="center" vertical="center"/>
    </xf>
    <xf numFmtId="0" fontId="0" fillId="0" borderId="18" xfId="0" applyFill="1" applyBorder="1" applyAlignment="1">
      <alignment horizontal="center" vertical="center"/>
    </xf>
    <xf numFmtId="49" fontId="34" fillId="0" borderId="11" xfId="0" applyNumberFormat="1" applyFont="1" applyBorder="1" applyAlignment="1">
      <alignment horizontal="left"/>
    </xf>
    <xf numFmtId="0" fontId="55" fillId="0" borderId="0" xfId="0" applyFont="1"/>
    <xf numFmtId="0" fontId="62" fillId="0" borderId="0" xfId="0" applyFont="1" applyBorder="1" applyAlignment="1">
      <alignment horizontal="center" vertical="center" wrapText="1"/>
    </xf>
    <xf numFmtId="0" fontId="55" fillId="0" borderId="0" xfId="0" applyFont="1" applyBorder="1" applyAlignment="1">
      <alignment horizontal="right" vertical="center" wrapText="1"/>
    </xf>
    <xf numFmtId="0" fontId="62" fillId="0" borderId="0" xfId="0" applyFont="1" applyBorder="1" applyAlignment="1">
      <alignment horizontal="center" vertical="top" wrapText="1"/>
    </xf>
    <xf numFmtId="0" fontId="62" fillId="0" borderId="0" xfId="0" applyFont="1" applyAlignment="1">
      <alignment horizontal="center" vertical="center"/>
    </xf>
    <xf numFmtId="0" fontId="54" fillId="0" borderId="0" xfId="0" applyFont="1" applyBorder="1" applyAlignment="1">
      <alignment horizontal="center" vertical="center"/>
    </xf>
    <xf numFmtId="0" fontId="54" fillId="0" borderId="0" xfId="0" applyFont="1"/>
    <xf numFmtId="0" fontId="53" fillId="0" borderId="15" xfId="0" quotePrefix="1" applyFont="1" applyBorder="1" applyAlignment="1">
      <alignment horizontal="center" vertical="center"/>
    </xf>
    <xf numFmtId="0" fontId="53" fillId="0" borderId="16" xfId="0" quotePrefix="1" applyFont="1" applyBorder="1" applyAlignment="1">
      <alignment horizontal="center" vertical="center"/>
    </xf>
    <xf numFmtId="0" fontId="53" fillId="0" borderId="13" xfId="0" quotePrefix="1" applyFont="1" applyFill="1" applyBorder="1" applyAlignment="1">
      <alignment horizontal="center" vertical="center"/>
    </xf>
    <xf numFmtId="0" fontId="53" fillId="0" borderId="0" xfId="0" quotePrefix="1" applyFont="1" applyBorder="1" applyAlignment="1">
      <alignment horizontal="center"/>
    </xf>
    <xf numFmtId="0" fontId="53" fillId="0" borderId="0" xfId="0" quotePrefix="1" applyFont="1" applyBorder="1"/>
    <xf numFmtId="0" fontId="32" fillId="0" borderId="17" xfId="0" applyFont="1" applyBorder="1" applyAlignment="1">
      <alignment horizontal="center"/>
    </xf>
    <xf numFmtId="0" fontId="33" fillId="0" borderId="11" xfId="0" applyFont="1" applyBorder="1" applyAlignment="1">
      <alignment horizontal="left" vertical="center"/>
    </xf>
    <xf numFmtId="0" fontId="34" fillId="0" borderId="18" xfId="0" applyFont="1" applyBorder="1" applyAlignment="1">
      <alignment horizontal="center" vertical="top" wrapText="1"/>
    </xf>
    <xf numFmtId="0" fontId="114" fillId="0" borderId="0" xfId="0" applyFont="1" applyBorder="1" applyAlignment="1">
      <alignment horizontal="left"/>
    </xf>
    <xf numFmtId="0" fontId="7" fillId="0" borderId="0" xfId="0" applyFont="1" applyBorder="1"/>
    <xf numFmtId="0" fontId="117" fillId="0" borderId="0" xfId="0" applyFont="1" applyBorder="1" applyAlignment="1">
      <alignment horizontal="right"/>
    </xf>
    <xf numFmtId="0" fontId="117" fillId="0" borderId="0" xfId="0" applyFont="1" applyBorder="1"/>
    <xf numFmtId="0" fontId="118" fillId="0" borderId="0" xfId="0" applyFont="1" applyBorder="1"/>
    <xf numFmtId="0" fontId="7" fillId="0" borderId="0" xfId="0" applyFont="1" applyAlignment="1">
      <alignment horizontal="right"/>
    </xf>
    <xf numFmtId="0" fontId="89" fillId="0" borderId="0" xfId="0" applyFont="1" applyAlignment="1">
      <alignment horizontal="left" vertical="top"/>
    </xf>
    <xf numFmtId="0" fontId="117" fillId="0" borderId="0" xfId="0" applyFont="1"/>
    <xf numFmtId="0" fontId="117" fillId="0" borderId="0" xfId="0" applyFont="1" applyBorder="1" applyAlignment="1">
      <alignment vertical="top"/>
    </xf>
    <xf numFmtId="0" fontId="7" fillId="0" borderId="0" xfId="0" applyFont="1" applyAlignment="1">
      <alignment vertical="top"/>
    </xf>
    <xf numFmtId="0" fontId="19" fillId="0" borderId="0" xfId="0" applyFont="1" applyBorder="1" applyAlignment="1">
      <alignment horizontal="center" vertical="top" wrapText="1"/>
    </xf>
    <xf numFmtId="0" fontId="20" fillId="0" borderId="0" xfId="0" applyFont="1" applyBorder="1" applyAlignment="1">
      <alignment horizontal="right" vertical="center" wrapText="1"/>
    </xf>
    <xf numFmtId="0" fontId="54" fillId="0" borderId="21" xfId="0" quotePrefix="1" applyFont="1" applyBorder="1" applyAlignment="1">
      <alignment horizontal="center" vertical="center"/>
    </xf>
    <xf numFmtId="0" fontId="54" fillId="0" borderId="23" xfId="0" quotePrefix="1" applyFont="1" applyFill="1" applyBorder="1" applyAlignment="1">
      <alignment horizontal="center" vertical="center"/>
    </xf>
    <xf numFmtId="0" fontId="116" fillId="0" borderId="0" xfId="0" applyFont="1"/>
    <xf numFmtId="0" fontId="12" fillId="0" borderId="0" xfId="0" applyFont="1" applyAlignment="1">
      <alignment horizontal="center" vertical="center" wrapText="1"/>
    </xf>
    <xf numFmtId="0" fontId="22" fillId="0" borderId="18" xfId="0" applyFont="1" applyBorder="1" applyAlignment="1">
      <alignment horizontal="center" vertical="center"/>
    </xf>
    <xf numFmtId="0" fontId="0" fillId="0" borderId="12" xfId="0" applyFill="1" applyBorder="1"/>
    <xf numFmtId="0" fontId="2" fillId="0" borderId="1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3" fillId="0" borderId="18" xfId="0" quotePrefix="1" applyFont="1" applyBorder="1" applyAlignment="1">
      <alignment horizontal="center" vertical="center"/>
    </xf>
    <xf numFmtId="0" fontId="3" fillId="0" borderId="20" xfId="0" quotePrefix="1" applyFont="1" applyBorder="1" applyAlignment="1">
      <alignment horizontal="center" vertical="center"/>
    </xf>
    <xf numFmtId="0" fontId="3" fillId="0" borderId="11" xfId="0" quotePrefix="1" applyFont="1" applyBorder="1" applyAlignment="1">
      <alignment horizontal="center" vertical="center"/>
    </xf>
    <xf numFmtId="0" fontId="3" fillId="0" borderId="10" xfId="0" applyFont="1" applyBorder="1" applyAlignment="1">
      <alignment horizontal="center"/>
    </xf>
    <xf numFmtId="0" fontId="2" fillId="0" borderId="17" xfId="0" quotePrefix="1" applyFont="1" applyBorder="1" applyAlignment="1">
      <alignment horizontal="center" vertical="center"/>
    </xf>
    <xf numFmtId="0" fontId="0" fillId="0" borderId="12" xfId="0" quotePrefix="1" applyBorder="1" applyAlignment="1" applyProtection="1">
      <alignment horizontal="center" vertical="center"/>
      <protection locked="0"/>
    </xf>
    <xf numFmtId="0" fontId="29" fillId="0" borderId="0" xfId="0" quotePrefix="1" applyFont="1" applyBorder="1" applyAlignment="1" applyProtection="1">
      <alignment horizontal="center" vertical="center"/>
      <protection locked="0"/>
    </xf>
    <xf numFmtId="2" fontId="0" fillId="0" borderId="11" xfId="0" quotePrefix="1" applyNumberFormat="1" applyBorder="1" applyAlignment="1" applyProtection="1">
      <alignment horizontal="center" vertical="center"/>
      <protection locked="0"/>
    </xf>
    <xf numFmtId="0" fontId="10" fillId="0" borderId="17" xfId="0" applyFont="1" applyBorder="1" applyAlignment="1">
      <alignment horizontal="left" vertical="center"/>
    </xf>
    <xf numFmtId="0" fontId="15" fillId="0" borderId="0" xfId="0" applyFont="1" applyBorder="1" applyAlignment="1">
      <alignment horizontal="left" vertical="top"/>
    </xf>
    <xf numFmtId="0" fontId="119" fillId="0" borderId="17" xfId="0" applyFont="1" applyBorder="1" applyAlignment="1">
      <alignment horizontal="center"/>
    </xf>
    <xf numFmtId="0" fontId="9" fillId="0" borderId="21" xfId="0" applyFont="1" applyBorder="1" applyAlignment="1">
      <alignment vertical="center"/>
    </xf>
    <xf numFmtId="0" fontId="9" fillId="0" borderId="17" xfId="0" applyFont="1" applyBorder="1" applyAlignment="1">
      <alignment vertical="center"/>
    </xf>
    <xf numFmtId="0" fontId="9" fillId="0" borderId="17" xfId="0" applyFont="1" applyBorder="1" applyAlignment="1">
      <alignment horizontal="left" vertical="center" wrapText="1"/>
    </xf>
    <xf numFmtId="1" fontId="119" fillId="0" borderId="17" xfId="0" applyNumberFormat="1" applyFont="1" applyBorder="1" applyAlignment="1">
      <alignment horizontal="center"/>
    </xf>
    <xf numFmtId="0" fontId="114" fillId="0" borderId="0" xfId="0" applyFont="1" applyAlignment="1">
      <alignment horizontal="left"/>
    </xf>
    <xf numFmtId="1" fontId="3" fillId="0" borderId="17" xfId="0" applyNumberFormat="1" applyFont="1" applyBorder="1" applyAlignment="1">
      <alignment horizontal="center"/>
    </xf>
    <xf numFmtId="0" fontId="3" fillId="0" borderId="0" xfId="0" applyFont="1" applyFill="1" applyBorder="1" applyAlignment="1">
      <alignment horizontal="center"/>
    </xf>
    <xf numFmtId="1" fontId="3" fillId="0" borderId="18" xfId="0" applyNumberFormat="1" applyFont="1" applyBorder="1" applyAlignment="1">
      <alignment horizontal="center"/>
    </xf>
    <xf numFmtId="0" fontId="3" fillId="0" borderId="18" xfId="0" applyFont="1" applyBorder="1" applyAlignment="1">
      <alignment horizontal="center"/>
    </xf>
    <xf numFmtId="2" fontId="3" fillId="0" borderId="10" xfId="0" applyNumberFormat="1" applyFont="1" applyBorder="1" applyAlignment="1">
      <alignment horizontal="center" vertical="center"/>
    </xf>
    <xf numFmtId="0" fontId="33" fillId="0" borderId="15" xfId="0" quotePrefix="1" applyFont="1" applyBorder="1" applyAlignment="1">
      <alignment horizontal="center" vertical="center"/>
    </xf>
    <xf numFmtId="0" fontId="33" fillId="0" borderId="14" xfId="0" quotePrefix="1" applyFont="1" applyBorder="1" applyAlignment="1">
      <alignment horizontal="center" vertical="center"/>
    </xf>
    <xf numFmtId="0" fontId="54" fillId="0" borderId="19" xfId="0" applyFont="1" applyBorder="1" applyAlignment="1">
      <alignment horizontal="center" vertical="center"/>
    </xf>
    <xf numFmtId="0" fontId="54" fillId="0" borderId="10" xfId="0" applyFont="1" applyBorder="1" applyAlignment="1">
      <alignment horizontal="right"/>
    </xf>
    <xf numFmtId="0" fontId="33" fillId="0" borderId="19" xfId="0" applyFont="1" applyFill="1" applyBorder="1" applyAlignment="1">
      <alignment horizontal="center" vertical="center"/>
    </xf>
    <xf numFmtId="0" fontId="33" fillId="0" borderId="21" xfId="0" applyFont="1" applyBorder="1" applyAlignment="1">
      <alignment horizontal="center" vertical="center"/>
    </xf>
    <xf numFmtId="0" fontId="33" fillId="0" borderId="21" xfId="0" applyFont="1" applyBorder="1" applyAlignment="1">
      <alignment horizontal="center" vertical="center" wrapText="1"/>
    </xf>
    <xf numFmtId="0" fontId="33" fillId="0" borderId="16" xfId="0" quotePrefix="1" applyFont="1" applyBorder="1" applyAlignment="1">
      <alignment horizontal="center" vertical="center"/>
    </xf>
    <xf numFmtId="0" fontId="33" fillId="0" borderId="13" xfId="0" quotePrefix="1" applyFont="1" applyBorder="1" applyAlignment="1">
      <alignment horizontal="center" vertical="center"/>
    </xf>
    <xf numFmtId="0" fontId="33" fillId="0" borderId="12" xfId="0" quotePrefix="1" applyFont="1" applyBorder="1" applyAlignment="1">
      <alignment horizontal="center" vertical="center"/>
    </xf>
    <xf numFmtId="164" fontId="33" fillId="0" borderId="17" xfId="0" quotePrefix="1" applyNumberFormat="1" applyFont="1" applyBorder="1" applyAlignment="1">
      <alignment horizontal="center" vertical="center"/>
    </xf>
    <xf numFmtId="164" fontId="33" fillId="0" borderId="0" xfId="0" quotePrefix="1" applyNumberFormat="1" applyFont="1" applyBorder="1" applyAlignment="1">
      <alignment horizontal="center" vertical="center"/>
    </xf>
    <xf numFmtId="164" fontId="33" fillId="0" borderId="18" xfId="0" applyNumberFormat="1" applyFont="1" applyBorder="1" applyAlignment="1" applyProtection="1">
      <alignment horizontal="center" vertical="center"/>
      <protection locked="0"/>
    </xf>
    <xf numFmtId="164" fontId="33" fillId="0" borderId="10" xfId="0" applyNumberFormat="1" applyFont="1" applyBorder="1" applyAlignment="1" applyProtection="1">
      <alignment horizontal="center" vertical="center"/>
      <protection locked="0"/>
    </xf>
    <xf numFmtId="164" fontId="33" fillId="0" borderId="20" xfId="0" applyNumberFormat="1" applyFont="1" applyBorder="1" applyAlignment="1" applyProtection="1">
      <alignment horizontal="center" vertical="center"/>
      <protection locked="0"/>
    </xf>
    <xf numFmtId="1" fontId="119" fillId="0" borderId="0" xfId="0" applyNumberFormat="1" applyFont="1" applyBorder="1" applyAlignment="1">
      <alignment horizontal="center"/>
    </xf>
    <xf numFmtId="1" fontId="27" fillId="0" borderId="16" xfId="0" quotePrefix="1" applyNumberFormat="1" applyFont="1" applyFill="1" applyBorder="1" applyAlignment="1">
      <alignment horizontal="center" vertical="center"/>
    </xf>
    <xf numFmtId="0" fontId="0" fillId="0" borderId="18" xfId="0" quotePrefix="1" applyBorder="1" applyAlignment="1">
      <alignment horizontal="center" vertical="center"/>
    </xf>
    <xf numFmtId="0" fontId="0" fillId="0" borderId="17" xfId="0" quotePrefix="1" applyFill="1" applyBorder="1" applyAlignment="1">
      <alignment horizontal="center" vertical="center"/>
    </xf>
    <xf numFmtId="0" fontId="0" fillId="0" borderId="11" xfId="0" quotePrefix="1" applyBorder="1" applyAlignment="1">
      <alignment horizontal="center" vertical="center"/>
    </xf>
    <xf numFmtId="0" fontId="2" fillId="0" borderId="18" xfId="0" quotePrefix="1" applyFont="1" applyBorder="1" applyAlignment="1" applyProtection="1">
      <alignment horizontal="center" vertical="center"/>
      <protection locked="0"/>
    </xf>
    <xf numFmtId="0" fontId="20" fillId="0" borderId="17" xfId="0" applyFont="1" applyBorder="1" applyAlignment="1">
      <alignment horizontal="center" vertical="center" wrapText="1"/>
    </xf>
    <xf numFmtId="2" fontId="3" fillId="0" borderId="12" xfId="0" applyNumberFormat="1" applyFont="1" applyBorder="1" applyAlignment="1">
      <alignment horizontal="center" vertical="center"/>
    </xf>
    <xf numFmtId="0" fontId="11" fillId="0" borderId="11" xfId="0" applyFont="1" applyBorder="1" applyAlignment="1">
      <alignment horizontal="center" vertical="center"/>
    </xf>
    <xf numFmtId="2" fontId="3" fillId="0" borderId="0" xfId="0" applyNumberFormat="1" applyFont="1"/>
    <xf numFmtId="0" fontId="33" fillId="0" borderId="18" xfId="0" applyFont="1" applyBorder="1" applyAlignment="1">
      <alignment horizontal="center"/>
    </xf>
    <xf numFmtId="0" fontId="12" fillId="0" borderId="12" xfId="0" applyFont="1" applyBorder="1" applyAlignment="1">
      <alignment horizontal="center"/>
    </xf>
    <xf numFmtId="0" fontId="12" fillId="0" borderId="19" xfId="0" applyFont="1" applyBorder="1" applyAlignment="1">
      <alignment horizontal="center"/>
    </xf>
    <xf numFmtId="0" fontId="33" fillId="0" borderId="17" xfId="0" applyFont="1" applyBorder="1" applyAlignment="1">
      <alignment horizontal="center" vertical="center" wrapText="1"/>
    </xf>
    <xf numFmtId="2" fontId="0" fillId="0" borderId="17" xfId="0" quotePrefix="1" applyNumberFormat="1" applyBorder="1" applyAlignment="1">
      <alignment horizontal="center" vertical="center"/>
    </xf>
    <xf numFmtId="2" fontId="0" fillId="0" borderId="17" xfId="0" applyNumberFormat="1" applyFill="1" applyBorder="1" applyAlignment="1">
      <alignment horizontal="center" vertical="center"/>
    </xf>
    <xf numFmtId="2" fontId="3" fillId="0" borderId="17" xfId="0" quotePrefix="1" applyNumberFormat="1" applyFont="1" applyBorder="1" applyAlignment="1">
      <alignment horizontal="center" vertical="center"/>
    </xf>
    <xf numFmtId="0" fontId="14" fillId="0" borderId="22" xfId="0" applyFont="1" applyBorder="1" applyAlignment="1">
      <alignment horizontal="right"/>
    </xf>
    <xf numFmtId="0" fontId="14" fillId="0" borderId="0" xfId="0" applyFont="1" applyBorder="1" applyAlignment="1">
      <alignment horizontal="right"/>
    </xf>
    <xf numFmtId="0" fontId="30" fillId="0" borderId="0" xfId="0" applyFont="1" applyBorder="1" applyAlignment="1">
      <alignment vertical="center"/>
    </xf>
    <xf numFmtId="0" fontId="14" fillId="0" borderId="22" xfId="0" applyFont="1" applyBorder="1" applyAlignment="1">
      <alignment horizontal="right" vertical="top"/>
    </xf>
    <xf numFmtId="0" fontId="14" fillId="0" borderId="0" xfId="0" applyFont="1" applyAlignment="1">
      <alignment horizontal="right" vertical="top"/>
    </xf>
    <xf numFmtId="0" fontId="14" fillId="0" borderId="0" xfId="0" applyFont="1" applyAlignment="1">
      <alignment vertical="top"/>
    </xf>
    <xf numFmtId="0" fontId="14" fillId="0" borderId="0" xfId="0" applyFont="1" applyAlignment="1">
      <alignment vertical="center"/>
    </xf>
    <xf numFmtId="0" fontId="14" fillId="0" borderId="0" xfId="0" quotePrefix="1" applyFont="1"/>
    <xf numFmtId="0" fontId="14" fillId="0" borderId="0" xfId="0" applyFont="1" applyBorder="1" applyAlignment="1">
      <alignment horizontal="center"/>
    </xf>
    <xf numFmtId="2" fontId="14" fillId="0" borderId="0" xfId="0" applyNumberFormat="1" applyFont="1" applyBorder="1" applyAlignment="1">
      <alignment horizontal="right"/>
    </xf>
    <xf numFmtId="0" fontId="100" fillId="0" borderId="0" xfId="0" applyFont="1" applyBorder="1" applyAlignment="1">
      <alignment horizontal="center"/>
    </xf>
    <xf numFmtId="0" fontId="100" fillId="0" borderId="17" xfId="0" applyFont="1" applyBorder="1" applyAlignment="1">
      <alignment horizontal="center"/>
    </xf>
    <xf numFmtId="0" fontId="14" fillId="0" borderId="0" xfId="0" quotePrefix="1" applyFont="1" applyBorder="1"/>
    <xf numFmtId="0" fontId="14" fillId="0" borderId="0" xfId="0" quotePrefix="1" applyFont="1" applyAlignment="1">
      <alignment horizontal="left"/>
    </xf>
    <xf numFmtId="0" fontId="14" fillId="0" borderId="0" xfId="0" applyFont="1" applyFill="1" applyBorder="1" applyAlignment="1">
      <alignment horizontal="right"/>
    </xf>
    <xf numFmtId="0" fontId="14" fillId="0" borderId="0" xfId="0" applyFont="1" applyAlignment="1">
      <alignment horizontal="left"/>
    </xf>
    <xf numFmtId="0" fontId="14" fillId="0" borderId="0" xfId="0" applyFont="1" applyAlignment="1"/>
    <xf numFmtId="2" fontId="14" fillId="0" borderId="0" xfId="0" applyNumberFormat="1" applyFont="1" applyBorder="1" applyAlignment="1">
      <alignment horizontal="right" vertical="center"/>
    </xf>
    <xf numFmtId="0" fontId="14" fillId="0" borderId="0" xfId="0" applyFont="1" applyBorder="1" applyAlignment="1">
      <alignment horizontal="right" vertical="top"/>
    </xf>
    <xf numFmtId="0" fontId="14" fillId="0" borderId="0" xfId="0" applyFont="1" applyBorder="1" applyAlignment="1">
      <alignment horizontal="left" vertical="center"/>
    </xf>
    <xf numFmtId="0" fontId="14" fillId="0" borderId="0" xfId="0" applyFont="1" applyBorder="1" applyAlignment="1">
      <alignment horizontal="center" vertical="top"/>
    </xf>
    <xf numFmtId="0" fontId="7" fillId="0" borderId="0" xfId="0" applyFont="1"/>
    <xf numFmtId="0" fontId="14" fillId="0" borderId="0" xfId="0" applyFont="1" applyBorder="1" applyAlignment="1"/>
    <xf numFmtId="0" fontId="97" fillId="0" borderId="0" xfId="0" applyFont="1" applyAlignment="1">
      <alignment horizontal="right"/>
    </xf>
    <xf numFmtId="0" fontId="14" fillId="0" borderId="22" xfId="0" applyFont="1" applyBorder="1" applyAlignment="1">
      <alignment horizontal="right" vertical="center"/>
    </xf>
    <xf numFmtId="0" fontId="115" fillId="0" borderId="0" xfId="0" applyFont="1"/>
    <xf numFmtId="0" fontId="14" fillId="0" borderId="0" xfId="0" applyFont="1" applyBorder="1" applyAlignment="1" applyProtection="1">
      <alignment horizontal="right"/>
      <protection locked="0"/>
    </xf>
    <xf numFmtId="0" fontId="14" fillId="0" borderId="0" xfId="0" applyFont="1" applyBorder="1" applyAlignment="1">
      <alignment horizontal="right" vertical="center"/>
    </xf>
    <xf numFmtId="0" fontId="14" fillId="0" borderId="0" xfId="0" applyFont="1" applyAlignment="1">
      <alignment horizontal="left" vertical="top"/>
    </xf>
    <xf numFmtId="0" fontId="14" fillId="0" borderId="0" xfId="0" applyFont="1" applyAlignment="1">
      <alignment horizontal="right" vertical="center"/>
    </xf>
    <xf numFmtId="0" fontId="14" fillId="0" borderId="0" xfId="0" applyFont="1" applyAlignment="1" applyProtection="1">
      <alignment horizontal="right"/>
      <protection locked="0"/>
    </xf>
    <xf numFmtId="0" fontId="14" fillId="0" borderId="0" xfId="0" applyFont="1" applyBorder="1" applyAlignment="1" applyProtection="1">
      <alignment horizontal="left"/>
      <protection locked="0"/>
    </xf>
    <xf numFmtId="0" fontId="14" fillId="0" borderId="0" xfId="0" applyFont="1" applyBorder="1" applyAlignment="1">
      <alignment vertical="center"/>
    </xf>
    <xf numFmtId="0" fontId="14" fillId="0" borderId="0" xfId="0" applyFont="1" applyBorder="1" applyAlignment="1">
      <alignment vertical="top"/>
    </xf>
    <xf numFmtId="0" fontId="100" fillId="0" borderId="0" xfId="0" applyFont="1"/>
    <xf numFmtId="0" fontId="14" fillId="0" borderId="0" xfId="0" applyFont="1" applyFill="1" applyBorder="1" applyAlignment="1">
      <alignment vertical="center"/>
    </xf>
    <xf numFmtId="0" fontId="14" fillId="0" borderId="0" xfId="0" applyFont="1" applyAlignment="1" applyProtection="1">
      <alignment vertical="center"/>
      <protection locked="0"/>
    </xf>
    <xf numFmtId="0" fontId="14" fillId="0" borderId="0" xfId="0" applyFont="1" applyAlignment="1" applyProtection="1">
      <alignment horizontal="left"/>
      <protection locked="0"/>
    </xf>
    <xf numFmtId="0" fontId="114" fillId="0" borderId="0" xfId="0" applyFont="1" applyProtection="1">
      <protection locked="0"/>
    </xf>
    <xf numFmtId="0" fontId="7" fillId="0" borderId="0" xfId="0" applyFont="1" applyProtection="1">
      <protection locked="0"/>
    </xf>
    <xf numFmtId="0" fontId="7" fillId="0" borderId="0" xfId="0" applyFont="1" applyAlignment="1" applyProtection="1">
      <alignment horizontal="left"/>
      <protection locked="0"/>
    </xf>
    <xf numFmtId="0" fontId="3" fillId="0" borderId="16" xfId="0" quotePrefix="1" applyFont="1" applyBorder="1" applyAlignment="1">
      <alignment horizontal="center"/>
    </xf>
    <xf numFmtId="2" fontId="19" fillId="0" borderId="24" xfId="0" applyNumberFormat="1" applyFont="1" applyBorder="1" applyAlignment="1" applyProtection="1">
      <alignment horizontal="center" vertical="center"/>
      <protection locked="0"/>
    </xf>
    <xf numFmtId="2" fontId="19" fillId="0" borderId="17" xfId="0" applyNumberFormat="1" applyFont="1" applyBorder="1" applyAlignment="1" applyProtection="1">
      <alignment horizontal="center" vertical="center"/>
      <protection locked="0"/>
    </xf>
    <xf numFmtId="2" fontId="19" fillId="0" borderId="0" xfId="0" applyNumberFormat="1" applyFont="1" applyBorder="1" applyAlignment="1" applyProtection="1">
      <alignment horizontal="center" vertical="center"/>
      <protection locked="0"/>
    </xf>
    <xf numFmtId="2" fontId="19" fillId="0" borderId="0" xfId="0" applyNumberFormat="1" applyFont="1" applyAlignment="1">
      <alignment horizontal="center" vertical="center"/>
    </xf>
    <xf numFmtId="2" fontId="19" fillId="0" borderId="11" xfId="0" applyNumberFormat="1" applyFont="1" applyBorder="1" applyAlignment="1" applyProtection="1">
      <alignment horizontal="center" vertical="center"/>
      <protection locked="0"/>
    </xf>
    <xf numFmtId="2" fontId="3" fillId="0" borderId="0" xfId="0" applyNumberFormat="1" applyFont="1" applyAlignment="1">
      <alignment horizontal="center" vertical="center"/>
    </xf>
    <xf numFmtId="2" fontId="19" fillId="0" borderId="12" xfId="0" applyNumberFormat="1" applyFont="1" applyBorder="1" applyAlignment="1">
      <alignment horizontal="center" vertical="center"/>
    </xf>
    <xf numFmtId="2" fontId="3" fillId="0" borderId="11" xfId="0" applyNumberFormat="1" applyFont="1" applyBorder="1" applyAlignment="1" applyProtection="1">
      <alignment horizontal="center" vertical="center"/>
      <protection locked="0"/>
    </xf>
    <xf numFmtId="2" fontId="19" fillId="0" borderId="12" xfId="0" applyNumberFormat="1" applyFont="1" applyBorder="1" applyAlignment="1" applyProtection="1">
      <alignment horizontal="center" vertical="center"/>
      <protection locked="0"/>
    </xf>
    <xf numFmtId="2" fontId="19" fillId="0" borderId="12" xfId="0" applyNumberFormat="1" applyFont="1" applyFill="1" applyBorder="1" applyAlignment="1" applyProtection="1">
      <alignment horizontal="center" vertical="center"/>
      <protection locked="0"/>
    </xf>
    <xf numFmtId="2" fontId="19" fillId="0" borderId="11" xfId="0" applyNumberFormat="1" applyFont="1" applyFill="1" applyBorder="1" applyAlignment="1">
      <alignment horizontal="center" vertical="center"/>
    </xf>
    <xf numFmtId="0" fontId="89" fillId="0" borderId="0" xfId="0" applyFont="1" applyProtection="1">
      <protection locked="0"/>
    </xf>
    <xf numFmtId="0" fontId="7" fillId="0" borderId="0" xfId="0" applyFont="1" applyBorder="1" applyAlignment="1" applyProtection="1">
      <alignment horizontal="right" vertical="center"/>
      <protection locked="0"/>
    </xf>
    <xf numFmtId="0" fontId="14" fillId="0" borderId="22" xfId="0" applyFont="1" applyBorder="1" applyAlignment="1" applyProtection="1">
      <alignment horizontal="right" vertical="top"/>
      <protection locked="0"/>
    </xf>
    <xf numFmtId="0" fontId="112" fillId="0" borderId="0" xfId="0" applyFont="1" applyBorder="1" applyAlignment="1" applyProtection="1">
      <alignment vertical="top"/>
      <protection locked="0"/>
    </xf>
    <xf numFmtId="0" fontId="25" fillId="0" borderId="23" xfId="0" applyFont="1" applyBorder="1" applyAlignment="1">
      <alignment horizontal="center" vertical="center"/>
    </xf>
    <xf numFmtId="0" fontId="62" fillId="0" borderId="11" xfId="0" applyFont="1" applyBorder="1" applyAlignment="1">
      <alignment horizontal="center" vertical="center"/>
    </xf>
    <xf numFmtId="0" fontId="62" fillId="0" borderId="17" xfId="0" applyFont="1" applyBorder="1" applyAlignment="1">
      <alignment horizontal="center" vertical="center"/>
    </xf>
    <xf numFmtId="0" fontId="25" fillId="0" borderId="17" xfId="0" applyFont="1" applyBorder="1" applyAlignment="1">
      <alignment horizontal="center" vertical="center"/>
    </xf>
    <xf numFmtId="0" fontId="34" fillId="0" borderId="21" xfId="0" applyFont="1" applyBorder="1" applyAlignment="1">
      <alignment horizontal="center" vertical="center"/>
    </xf>
    <xf numFmtId="49" fontId="34" fillId="0" borderId="17" xfId="0" applyNumberFormat="1" applyFont="1" applyBorder="1" applyAlignment="1">
      <alignment horizontal="center" vertical="center"/>
    </xf>
    <xf numFmtId="0" fontId="28" fillId="0" borderId="10"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123" fillId="0" borderId="0" xfId="0" applyFont="1" applyProtection="1">
      <protection locked="0"/>
    </xf>
    <xf numFmtId="0" fontId="114" fillId="0" borderId="0" xfId="0" applyFont="1" applyFill="1" applyBorder="1" applyAlignment="1" applyProtection="1">
      <alignment horizontal="right"/>
      <protection locked="0"/>
    </xf>
    <xf numFmtId="0" fontId="114" fillId="0" borderId="0" xfId="0" applyFont="1" applyFill="1" applyBorder="1" applyAlignment="1" applyProtection="1">
      <alignment horizontal="left"/>
      <protection locked="0"/>
    </xf>
    <xf numFmtId="0" fontId="114" fillId="0" borderId="0" xfId="0" applyFont="1" applyAlignment="1" applyProtection="1">
      <alignment vertical="center"/>
      <protection locked="0"/>
    </xf>
    <xf numFmtId="0" fontId="14" fillId="0" borderId="22" xfId="0" applyFont="1" applyBorder="1" applyAlignment="1" applyProtection="1">
      <alignment horizontal="right" vertical="center"/>
      <protection locked="0"/>
    </xf>
    <xf numFmtId="0" fontId="7" fillId="0" borderId="0" xfId="0" applyFont="1" applyAlignment="1">
      <alignment vertical="center"/>
    </xf>
    <xf numFmtId="0" fontId="7"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7" fillId="0" borderId="0" xfId="0" applyFont="1" applyAlignment="1" applyProtection="1">
      <alignment horizontal="right" vertical="center"/>
      <protection locked="0"/>
    </xf>
    <xf numFmtId="0" fontId="97" fillId="0" borderId="0" xfId="0" applyFont="1" applyAlignment="1" applyProtection="1">
      <alignment vertical="center"/>
      <protection locked="0"/>
    </xf>
    <xf numFmtId="0" fontId="116" fillId="0" borderId="0" xfId="0" applyFont="1" applyBorder="1" applyProtection="1">
      <protection locked="0"/>
    </xf>
    <xf numFmtId="0" fontId="97" fillId="0" borderId="0" xfId="0" applyFont="1" applyAlignment="1" applyProtection="1">
      <alignment horizontal="right"/>
      <protection locked="0"/>
    </xf>
    <xf numFmtId="0" fontId="97" fillId="0" borderId="0" xfId="0" applyFont="1" applyProtection="1">
      <protection locked="0"/>
    </xf>
    <xf numFmtId="0" fontId="97" fillId="0" borderId="0" xfId="0" applyFont="1" applyAlignment="1" applyProtection="1">
      <protection locked="0"/>
    </xf>
    <xf numFmtId="0" fontId="7" fillId="0" borderId="0" xfId="0" applyFont="1" applyBorder="1" applyAlignment="1">
      <alignment horizontal="right" vertical="center"/>
    </xf>
    <xf numFmtId="0" fontId="116" fillId="0" borderId="0" xfId="0" applyFont="1" applyFill="1" applyBorder="1"/>
    <xf numFmtId="0" fontId="25" fillId="0" borderId="12"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12" xfId="0" quotePrefix="1" applyFont="1" applyBorder="1" applyAlignment="1" applyProtection="1">
      <alignment horizontal="center"/>
      <protection locked="0"/>
    </xf>
    <xf numFmtId="0" fontId="3" fillId="0" borderId="17" xfId="0" quotePrefix="1" applyFont="1" applyBorder="1" applyAlignment="1" applyProtection="1">
      <alignment horizontal="center"/>
      <protection locked="0"/>
    </xf>
    <xf numFmtId="0" fontId="32" fillId="0" borderId="17" xfId="0" quotePrefix="1" applyFont="1" applyBorder="1" applyAlignment="1" applyProtection="1">
      <alignment horizontal="center"/>
      <protection locked="0"/>
    </xf>
    <xf numFmtId="0" fontId="25" fillId="0" borderId="12" xfId="0" applyFont="1" applyBorder="1" applyAlignment="1" applyProtection="1">
      <alignment horizontal="center"/>
      <protection locked="0"/>
    </xf>
    <xf numFmtId="0" fontId="25" fillId="0" borderId="17" xfId="0" applyFont="1" applyBorder="1" applyAlignment="1" applyProtection="1">
      <alignment horizontal="center"/>
      <protection locked="0"/>
    </xf>
    <xf numFmtId="0" fontId="28" fillId="0" borderId="15" xfId="0" applyFont="1" applyBorder="1" applyAlignment="1">
      <alignment horizontal="center"/>
    </xf>
    <xf numFmtId="0" fontId="28" fillId="0" borderId="16" xfId="0" applyFont="1" applyBorder="1" applyAlignment="1">
      <alignment horizontal="center"/>
    </xf>
    <xf numFmtId="0" fontId="28" fillId="0" borderId="14" xfId="0" applyFont="1" applyBorder="1" applyAlignment="1">
      <alignment horizontal="center"/>
    </xf>
    <xf numFmtId="0" fontId="28" fillId="0" borderId="13" xfId="0" applyFont="1" applyBorder="1" applyAlignment="1">
      <alignment horizontal="center"/>
    </xf>
    <xf numFmtId="0" fontId="32" fillId="0" borderId="17" xfId="0" applyFont="1" applyBorder="1" applyProtection="1">
      <protection locked="0"/>
    </xf>
    <xf numFmtId="0" fontId="25" fillId="0" borderId="17" xfId="0" applyFont="1" applyBorder="1" applyProtection="1">
      <protection locked="0"/>
    </xf>
    <xf numFmtId="0" fontId="24" fillId="0" borderId="16" xfId="0" applyFont="1" applyBorder="1"/>
    <xf numFmtId="0" fontId="14" fillId="0" borderId="0" xfId="0" applyFont="1" applyAlignment="1">
      <alignment horizontal="center"/>
    </xf>
    <xf numFmtId="0" fontId="7" fillId="0" borderId="0" xfId="0" applyFont="1" applyAlignment="1"/>
    <xf numFmtId="0" fontId="123" fillId="0" borderId="0" xfId="0" applyFont="1" applyAlignment="1"/>
    <xf numFmtId="2" fontId="0" fillId="0" borderId="11" xfId="0" quotePrefix="1" applyNumberFormat="1" applyBorder="1" applyAlignment="1">
      <alignment horizontal="center" vertical="center"/>
    </xf>
    <xf numFmtId="0" fontId="7" fillId="0" borderId="0" xfId="0" applyFont="1" applyBorder="1" applyAlignment="1">
      <alignment horizontal="right"/>
    </xf>
    <xf numFmtId="0" fontId="28" fillId="0" borderId="10" xfId="0" applyFont="1" applyBorder="1" applyAlignment="1">
      <alignment horizontal="center" vertical="center"/>
    </xf>
    <xf numFmtId="2" fontId="28" fillId="0" borderId="20" xfId="0" applyNumberFormat="1" applyFont="1" applyBorder="1" applyAlignment="1">
      <alignment horizontal="center" vertical="center"/>
    </xf>
    <xf numFmtId="0" fontId="23" fillId="0" borderId="20" xfId="0" applyFont="1" applyBorder="1" applyAlignment="1">
      <alignment vertical="center"/>
    </xf>
    <xf numFmtId="0" fontId="11" fillId="0" borderId="11" xfId="0" applyFont="1" applyBorder="1" applyAlignment="1">
      <alignment vertical="center"/>
    </xf>
    <xf numFmtId="0" fontId="126" fillId="0" borderId="0" xfId="0" applyFont="1" applyFill="1" applyBorder="1" applyAlignment="1">
      <alignment horizontal="left" vertical="center"/>
    </xf>
    <xf numFmtId="0" fontId="3" fillId="0" borderId="22" xfId="0" applyFont="1" applyBorder="1" applyAlignment="1">
      <alignment horizontal="center" vertical="center"/>
    </xf>
    <xf numFmtId="0" fontId="52" fillId="0" borderId="17" xfId="0" quotePrefix="1" applyFont="1" applyBorder="1" applyAlignment="1" applyProtection="1">
      <alignment horizontal="center" vertical="center"/>
      <protection locked="0"/>
    </xf>
    <xf numFmtId="0" fontId="20" fillId="0" borderId="23" xfId="0" applyFont="1" applyBorder="1" applyAlignment="1">
      <alignment horizontal="center" vertical="center"/>
    </xf>
    <xf numFmtId="0" fontId="0" fillId="0" borderId="0" xfId="0" applyBorder="1" applyAlignment="1"/>
    <xf numFmtId="0" fontId="23" fillId="0" borderId="20" xfId="0" applyFont="1" applyBorder="1" applyAlignment="1" applyProtection="1">
      <alignment horizontal="center"/>
      <protection locked="0"/>
    </xf>
    <xf numFmtId="2" fontId="3" fillId="0" borderId="21" xfId="0" applyNumberFormat="1" applyFont="1" applyBorder="1" applyAlignment="1">
      <alignment horizontal="center" vertical="center" wrapText="1"/>
    </xf>
    <xf numFmtId="0" fontId="3" fillId="0" borderId="22" xfId="0" quotePrefix="1"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2" fontId="3" fillId="0" borderId="18" xfId="0" applyNumberFormat="1" applyFont="1" applyBorder="1" applyAlignment="1">
      <alignment horizontal="center" vertical="center" wrapText="1"/>
    </xf>
    <xf numFmtId="2" fontId="3" fillId="0" borderId="17" xfId="0" applyNumberFormat="1" applyFont="1" applyBorder="1" applyAlignment="1">
      <alignment horizontal="center" vertical="center" wrapText="1"/>
    </xf>
    <xf numFmtId="2" fontId="3" fillId="0" borderId="12" xfId="0" applyNumberFormat="1" applyFont="1" applyBorder="1" applyAlignment="1">
      <alignment horizontal="center" vertical="center" wrapText="1"/>
    </xf>
    <xf numFmtId="2" fontId="3" fillId="0" borderId="19" xfId="0" applyNumberFormat="1" applyFont="1" applyBorder="1" applyAlignment="1">
      <alignment horizontal="center" vertical="center" wrapText="1"/>
    </xf>
    <xf numFmtId="0" fontId="48" fillId="0" borderId="20" xfId="0" applyFont="1" applyBorder="1" applyAlignment="1">
      <alignment horizontal="center" vertical="center"/>
    </xf>
    <xf numFmtId="0" fontId="33" fillId="0" borderId="0" xfId="34" applyFont="1" applyBorder="1" applyAlignment="1" applyProtection="1">
      <alignment horizontal="center"/>
    </xf>
    <xf numFmtId="0" fontId="68" fillId="0" borderId="11" xfId="0" applyFont="1" applyBorder="1" applyAlignment="1">
      <alignment horizontal="center" vertical="center"/>
    </xf>
    <xf numFmtId="2" fontId="48" fillId="0" borderId="11" xfId="0" applyNumberFormat="1" applyFont="1" applyBorder="1" applyAlignment="1">
      <alignment horizontal="center" vertical="center"/>
    </xf>
    <xf numFmtId="1" fontId="48" fillId="0" borderId="11" xfId="0" applyNumberFormat="1" applyFont="1" applyBorder="1" applyAlignment="1">
      <alignment horizontal="center" vertical="center"/>
    </xf>
    <xf numFmtId="0" fontId="32" fillId="0" borderId="17" xfId="0" quotePrefix="1" applyFont="1" applyFill="1" applyBorder="1" applyAlignment="1">
      <alignment horizontal="center" vertical="center"/>
    </xf>
    <xf numFmtId="0" fontId="29" fillId="0" borderId="18" xfId="0" applyFont="1" applyBorder="1" applyAlignment="1">
      <alignment vertical="center"/>
    </xf>
    <xf numFmtId="2" fontId="48" fillId="0" borderId="20" xfId="0" applyNumberFormat="1" applyFont="1" applyBorder="1" applyAlignment="1">
      <alignment horizontal="center" vertical="center"/>
    </xf>
    <xf numFmtId="17" fontId="12" fillId="0" borderId="17" xfId="0" quotePrefix="1" applyNumberFormat="1" applyFont="1" applyBorder="1" applyAlignment="1">
      <alignment horizontal="center" vertical="center"/>
    </xf>
    <xf numFmtId="2" fontId="15" fillId="0" borderId="14" xfId="0" applyNumberFormat="1" applyFont="1" applyBorder="1" applyAlignment="1">
      <alignment horizontal="center" vertical="center" wrapText="1"/>
    </xf>
    <xf numFmtId="0" fontId="25" fillId="0" borderId="21" xfId="0" applyFont="1" applyBorder="1" applyAlignment="1" applyProtection="1">
      <alignment horizontal="left" vertical="center"/>
      <protection locked="0"/>
    </xf>
    <xf numFmtId="0" fontId="25" fillId="0" borderId="23"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44" fillId="0" borderId="17" xfId="0" applyFont="1" applyBorder="1" applyAlignment="1" applyProtection="1">
      <alignment horizontal="left" vertical="center"/>
      <protection locked="0"/>
    </xf>
    <xf numFmtId="0" fontId="32" fillId="0" borderId="17" xfId="0" applyFont="1" applyBorder="1" applyAlignment="1" applyProtection="1">
      <alignment horizontal="left" vertical="center"/>
      <protection locked="0"/>
    </xf>
    <xf numFmtId="0" fontId="53" fillId="0" borderId="17" xfId="0" applyFont="1" applyBorder="1" applyAlignment="1" applyProtection="1">
      <alignment horizontal="left" vertical="center"/>
      <protection locked="0"/>
    </xf>
    <xf numFmtId="0" fontId="53" fillId="0" borderId="18" xfId="0" applyFont="1" applyBorder="1" applyAlignment="1" applyProtection="1">
      <alignment horizontal="left" vertical="center"/>
      <protection locked="0"/>
    </xf>
    <xf numFmtId="0" fontId="34" fillId="0" borderId="17" xfId="0" applyFont="1" applyBorder="1" applyAlignment="1">
      <alignment vertical="center"/>
    </xf>
    <xf numFmtId="0" fontId="28" fillId="0" borderId="11" xfId="0" applyFont="1" applyBorder="1" applyAlignment="1" applyProtection="1">
      <alignment horizontal="center" vertical="center"/>
      <protection locked="0"/>
    </xf>
    <xf numFmtId="0" fontId="14" fillId="0" borderId="0" xfId="0" applyFont="1" applyFill="1" applyBorder="1"/>
    <xf numFmtId="0" fontId="64" fillId="0" borderId="18" xfId="0" applyFont="1" applyBorder="1" applyAlignment="1">
      <alignment horizontal="center" vertical="center" wrapText="1"/>
    </xf>
    <xf numFmtId="0" fontId="48" fillId="0" borderId="11" xfId="0" applyFont="1" applyBorder="1" applyAlignment="1">
      <alignment horizontal="center" vertical="center" wrapText="1"/>
    </xf>
    <xf numFmtId="0" fontId="52" fillId="0" borderId="16" xfId="0" applyFont="1" applyFill="1" applyBorder="1" applyAlignment="1">
      <alignment horizontal="left" vertical="center"/>
    </xf>
    <xf numFmtId="1" fontId="52" fillId="0" borderId="16" xfId="0" applyNumberFormat="1" applyFont="1" applyBorder="1" applyAlignment="1">
      <alignment horizontal="center" vertical="center"/>
    </xf>
    <xf numFmtId="0" fontId="32" fillId="0" borderId="15" xfId="0" quotePrefix="1" applyFont="1" applyBorder="1" applyAlignment="1">
      <alignment horizontal="center" vertical="center" wrapText="1"/>
    </xf>
    <xf numFmtId="0" fontId="32" fillId="0" borderId="13" xfId="0" quotePrefix="1" applyFont="1" applyBorder="1" applyAlignment="1">
      <alignment horizontal="center" vertical="center"/>
    </xf>
    <xf numFmtId="0" fontId="32" fillId="0" borderId="15" xfId="0" quotePrefix="1" applyFont="1" applyBorder="1" applyAlignment="1">
      <alignment horizontal="center" vertical="center"/>
    </xf>
    <xf numFmtId="0" fontId="32" fillId="0" borderId="14" xfId="0" quotePrefix="1" applyFont="1" applyBorder="1" applyAlignment="1">
      <alignment horizontal="center" vertical="center"/>
    </xf>
    <xf numFmtId="0" fontId="20" fillId="0" borderId="12" xfId="0" applyFont="1" applyBorder="1" applyAlignment="1">
      <alignment horizontal="center" vertical="center" shrinkToFit="1"/>
    </xf>
    <xf numFmtId="0" fontId="20" fillId="0" borderId="17" xfId="0" applyFont="1" applyBorder="1" applyAlignment="1">
      <alignment horizontal="center" vertical="center" shrinkToFit="1"/>
    </xf>
    <xf numFmtId="165" fontId="3" fillId="0" borderId="17" xfId="0" quotePrefix="1" applyNumberFormat="1" applyFont="1" applyBorder="1" applyAlignment="1">
      <alignment horizontal="center" vertical="center"/>
    </xf>
    <xf numFmtId="165" fontId="3" fillId="0" borderId="11" xfId="0" quotePrefix="1" applyNumberFormat="1" applyFont="1" applyBorder="1" applyAlignment="1">
      <alignment horizontal="center" vertical="center"/>
    </xf>
    <xf numFmtId="165" fontId="3" fillId="0" borderId="18" xfId="0" applyNumberFormat="1" applyFont="1" applyBorder="1" applyAlignment="1">
      <alignment horizontal="center" vertical="center"/>
    </xf>
    <xf numFmtId="1" fontId="3" fillId="0" borderId="11" xfId="0" quotePrefix="1" applyNumberFormat="1" applyFont="1" applyBorder="1" applyAlignment="1">
      <alignment horizontal="center" vertical="center"/>
    </xf>
    <xf numFmtId="0" fontId="3" fillId="0" borderId="10" xfId="0" quotePrefix="1" applyFont="1" applyBorder="1" applyAlignment="1">
      <alignment horizontal="center" vertical="center"/>
    </xf>
    <xf numFmtId="1" fontId="3" fillId="0" borderId="20" xfId="0" quotePrefix="1" applyNumberFormat="1" applyFont="1" applyBorder="1" applyAlignment="1">
      <alignment horizontal="center" vertical="center"/>
    </xf>
    <xf numFmtId="0" fontId="117" fillId="0" borderId="0" xfId="0" applyFont="1" applyAlignment="1">
      <alignment horizontal="left"/>
    </xf>
    <xf numFmtId="1" fontId="3" fillId="0" borderId="11" xfId="0" applyNumberFormat="1" applyFont="1" applyBorder="1" applyAlignment="1">
      <alignment horizontal="center"/>
    </xf>
    <xf numFmtId="1" fontId="3" fillId="0" borderId="20" xfId="0" applyNumberFormat="1" applyFont="1" applyBorder="1" applyAlignment="1">
      <alignment horizontal="center"/>
    </xf>
    <xf numFmtId="0" fontId="2" fillId="0" borderId="17" xfId="0" quotePrefix="1" applyFont="1" applyBorder="1" applyAlignment="1" applyProtection="1">
      <alignment horizontal="center"/>
      <protection locked="0"/>
    </xf>
    <xf numFmtId="0" fontId="114" fillId="0" borderId="0" xfId="0" applyFont="1" applyBorder="1" applyAlignment="1">
      <alignment horizontal="left" vertical="top"/>
    </xf>
    <xf numFmtId="0" fontId="3" fillId="0" borderId="12" xfId="0" applyFont="1" applyBorder="1"/>
    <xf numFmtId="0" fontId="20" fillId="0" borderId="17" xfId="0" applyFont="1" applyBorder="1" applyAlignment="1">
      <alignment vertical="center" wrapText="1"/>
    </xf>
    <xf numFmtId="0" fontId="15" fillId="0" borderId="0" xfId="0" quotePrefix="1" applyFont="1" applyBorder="1" applyAlignment="1">
      <alignment horizontal="center" vertical="center"/>
    </xf>
    <xf numFmtId="0" fontId="15" fillId="0" borderId="17" xfId="0" quotePrefix="1" applyFont="1" applyBorder="1" applyAlignment="1">
      <alignment horizontal="center" vertical="center"/>
    </xf>
    <xf numFmtId="1" fontId="3" fillId="0" borderId="17" xfId="0" quotePrefix="1" applyNumberFormat="1" applyFont="1" applyBorder="1" applyAlignment="1">
      <alignment horizontal="center" vertical="center"/>
    </xf>
    <xf numFmtId="3" fontId="16" fillId="0" borderId="12" xfId="0" applyNumberFormat="1" applyFont="1" applyBorder="1" applyAlignment="1">
      <alignment horizontal="center" vertical="center"/>
    </xf>
    <xf numFmtId="3" fontId="16" fillId="0" borderId="0" xfId="0" applyNumberFormat="1" applyFont="1" applyBorder="1" applyAlignment="1">
      <alignment horizontal="center" vertical="center"/>
    </xf>
    <xf numFmtId="3" fontId="16" fillId="0" borderId="11" xfId="0" applyNumberFormat="1" applyFont="1" applyBorder="1" applyAlignment="1">
      <alignment horizontal="center" vertical="center"/>
    </xf>
    <xf numFmtId="3" fontId="3" fillId="0" borderId="24" xfId="0" quotePrefix="1" applyNumberFormat="1" applyFont="1" applyBorder="1" applyAlignment="1">
      <alignment horizontal="center" vertical="center"/>
    </xf>
    <xf numFmtId="3" fontId="3" fillId="0" borderId="22" xfId="0" quotePrefix="1" applyNumberFormat="1" applyFont="1" applyBorder="1" applyAlignment="1">
      <alignment horizontal="center" vertical="center"/>
    </xf>
    <xf numFmtId="3" fontId="3" fillId="0" borderId="23" xfId="0" quotePrefix="1" applyNumberFormat="1" applyFont="1" applyBorder="1" applyAlignment="1">
      <alignment horizontal="center" vertical="center"/>
    </xf>
    <xf numFmtId="0" fontId="17" fillId="0" borderId="16" xfId="0" applyFont="1" applyBorder="1" applyAlignment="1" applyProtection="1">
      <alignment horizontal="center" vertical="center"/>
      <protection locked="0"/>
    </xf>
    <xf numFmtId="1" fontId="3" fillId="0" borderId="17" xfId="0" applyNumberFormat="1" applyFont="1" applyBorder="1" applyAlignment="1">
      <alignment horizontal="center" vertical="center"/>
    </xf>
    <xf numFmtId="1" fontId="3" fillId="0" borderId="11" xfId="0" applyNumberFormat="1" applyFont="1" applyBorder="1" applyAlignment="1">
      <alignment horizontal="center" vertical="center"/>
    </xf>
    <xf numFmtId="0" fontId="20" fillId="0" borderId="14" xfId="0" applyFont="1" applyBorder="1" applyAlignment="1">
      <alignment horizontal="center" vertical="center"/>
    </xf>
    <xf numFmtId="0" fontId="73" fillId="0" borderId="0" xfId="0" applyFont="1" applyAlignment="1">
      <alignment horizontal="left"/>
    </xf>
    <xf numFmtId="1" fontId="3" fillId="0" borderId="12" xfId="0" applyNumberFormat="1" applyFont="1" applyBorder="1" applyAlignment="1">
      <alignment horizontal="center" vertical="center"/>
    </xf>
    <xf numFmtId="0" fontId="20" fillId="0" borderId="21" xfId="0" applyFont="1" applyBorder="1" applyAlignment="1">
      <alignment horizontal="center" vertical="center" wrapText="1"/>
    </xf>
    <xf numFmtId="0" fontId="52" fillId="0" borderId="11" xfId="0" applyFont="1" applyBorder="1" applyAlignment="1" applyProtection="1">
      <alignment horizontal="center" vertical="center"/>
      <protection locked="0"/>
    </xf>
    <xf numFmtId="0" fontId="53" fillId="0" borderId="0" xfId="0" applyFont="1" applyBorder="1" applyAlignment="1">
      <alignment horizontal="center" vertical="center"/>
    </xf>
    <xf numFmtId="0" fontId="20" fillId="0" borderId="21" xfId="0" applyFont="1" applyFill="1" applyBorder="1" applyAlignment="1">
      <alignment horizontal="center" vertical="center"/>
    </xf>
    <xf numFmtId="0" fontId="34" fillId="0" borderId="21" xfId="0" quotePrefix="1" applyFont="1" applyBorder="1" applyAlignment="1">
      <alignment horizontal="center" vertical="center"/>
    </xf>
    <xf numFmtId="0" fontId="0" fillId="0" borderId="11" xfId="0" quotePrefix="1" applyFill="1" applyBorder="1" applyAlignment="1">
      <alignment horizontal="center" vertical="center"/>
    </xf>
    <xf numFmtId="0" fontId="48" fillId="0" borderId="15" xfId="0" applyFont="1" applyBorder="1" applyAlignment="1">
      <alignment horizontal="center" vertical="center" shrinkToFit="1"/>
    </xf>
    <xf numFmtId="0" fontId="48" fillId="0" borderId="13" xfId="0" applyFont="1" applyBorder="1" applyAlignment="1">
      <alignment horizontal="center" vertical="center" shrinkToFit="1"/>
    </xf>
    <xf numFmtId="1" fontId="3" fillId="0" borderId="20" xfId="0" applyNumberFormat="1" applyFont="1" applyBorder="1" applyAlignment="1">
      <alignment horizontal="center" vertical="center"/>
    </xf>
    <xf numFmtId="0" fontId="7" fillId="0" borderId="0" xfId="0" applyFont="1" applyAlignment="1">
      <alignment horizontal="right" vertical="center"/>
    </xf>
    <xf numFmtId="0" fontId="116" fillId="0" borderId="0" xfId="0" applyFont="1" applyBorder="1" applyAlignment="1">
      <alignment horizontal="left" vertical="center"/>
    </xf>
    <xf numFmtId="0" fontId="33" fillId="0" borderId="0" xfId="0" applyFont="1" applyAlignment="1">
      <alignment vertical="center"/>
    </xf>
    <xf numFmtId="2" fontId="0" fillId="0" borderId="0" xfId="0" quotePrefix="1" applyNumberFormat="1" applyBorder="1" applyAlignment="1" applyProtection="1">
      <alignment horizontal="center" vertical="center"/>
      <protection locked="0"/>
    </xf>
    <xf numFmtId="164" fontId="3" fillId="0" borderId="11" xfId="0" quotePrefix="1" applyNumberFormat="1" applyFont="1" applyBorder="1" applyAlignment="1" applyProtection="1">
      <alignment horizontal="center" vertical="center"/>
      <protection locked="0"/>
    </xf>
    <xf numFmtId="164" fontId="33" fillId="0" borderId="11" xfId="0" applyNumberFormat="1" applyFont="1" applyBorder="1" applyAlignment="1">
      <alignment horizontal="center" vertical="center"/>
    </xf>
    <xf numFmtId="0" fontId="19" fillId="0" borderId="21" xfId="0" applyFont="1" applyBorder="1" applyAlignment="1">
      <alignment horizontal="left" vertical="center"/>
    </xf>
    <xf numFmtId="2" fontId="3" fillId="0" borderId="17" xfId="0" quotePrefix="1" applyNumberFormat="1" applyFont="1" applyBorder="1" applyAlignment="1" applyProtection="1">
      <alignment horizontal="center" vertical="center"/>
      <protection locked="0"/>
    </xf>
    <xf numFmtId="165" fontId="3" fillId="0" borderId="17" xfId="0" quotePrefix="1" applyNumberFormat="1" applyFont="1" applyBorder="1" applyAlignment="1" applyProtection="1">
      <alignment horizontal="center" vertical="center"/>
      <protection locked="0"/>
    </xf>
    <xf numFmtId="0" fontId="53" fillId="0" borderId="11" xfId="0" quotePrefix="1" applyFont="1" applyBorder="1" applyAlignment="1">
      <alignment horizontal="center" vertical="center"/>
    </xf>
    <xf numFmtId="0" fontId="3" fillId="0" borderId="20" xfId="0" quotePrefix="1" applyFont="1" applyBorder="1" applyAlignment="1" applyProtection="1">
      <alignment horizontal="center" vertical="center"/>
      <protection locked="0"/>
    </xf>
    <xf numFmtId="0" fontId="0" fillId="0" borderId="11" xfId="0" quotePrefix="1" applyBorder="1" applyAlignment="1" applyProtection="1">
      <alignment horizontal="center" vertical="center"/>
      <protection locked="0"/>
    </xf>
    <xf numFmtId="0" fontId="11" fillId="0" borderId="16" xfId="0" applyFont="1" applyBorder="1" applyAlignment="1">
      <alignment horizontal="center" vertical="center"/>
    </xf>
    <xf numFmtId="0" fontId="28" fillId="0" borderId="23" xfId="0" applyFont="1" applyBorder="1" applyAlignment="1">
      <alignment horizontal="left" vertical="center"/>
    </xf>
    <xf numFmtId="1" fontId="3" fillId="0" borderId="0" xfId="0" applyNumberFormat="1" applyFont="1" applyBorder="1" applyAlignment="1">
      <alignment horizontal="center"/>
    </xf>
    <xf numFmtId="1" fontId="3" fillId="0" borderId="0" xfId="0" applyNumberFormat="1" applyFont="1" applyFill="1" applyBorder="1" applyAlignment="1">
      <alignment horizontal="center"/>
    </xf>
    <xf numFmtId="0" fontId="148" fillId="0" borderId="17" xfId="34" quotePrefix="1" applyFont="1" applyBorder="1" applyAlignment="1" applyProtection="1">
      <alignment horizontal="center"/>
    </xf>
    <xf numFmtId="0" fontId="148" fillId="0" borderId="11" xfId="34" quotePrefix="1" applyFont="1" applyBorder="1" applyAlignment="1" applyProtection="1">
      <alignment horizontal="center"/>
    </xf>
    <xf numFmtId="0" fontId="45" fillId="0" borderId="11" xfId="0" applyFont="1" applyBorder="1"/>
    <xf numFmtId="0" fontId="148" fillId="0" borderId="17" xfId="34" applyFont="1" applyBorder="1" applyAlignment="1" applyProtection="1">
      <alignment horizontal="center"/>
    </xf>
    <xf numFmtId="0" fontId="3" fillId="0" borderId="23" xfId="0" applyFont="1" applyBorder="1" applyAlignment="1">
      <alignment horizontal="center" vertical="center"/>
    </xf>
    <xf numFmtId="0" fontId="149" fillId="0" borderId="0" xfId="0" applyFont="1"/>
    <xf numFmtId="0" fontId="20" fillId="0" borderId="24" xfId="0" applyFont="1" applyBorder="1" applyAlignment="1">
      <alignment horizontal="center" vertical="justify"/>
    </xf>
    <xf numFmtId="49" fontId="34" fillId="0" borderId="18" xfId="0" applyNumberFormat="1" applyFont="1" applyBorder="1" applyAlignment="1">
      <alignment horizontal="left"/>
    </xf>
    <xf numFmtId="0" fontId="53" fillId="0" borderId="0" xfId="0" applyFont="1" applyBorder="1" applyAlignment="1">
      <alignment vertical="center"/>
    </xf>
    <xf numFmtId="49" fontId="34" fillId="0" borderId="20" xfId="0" applyNumberFormat="1" applyFont="1" applyBorder="1" applyAlignment="1">
      <alignment horizontal="center" vertical="center"/>
    </xf>
    <xf numFmtId="0" fontId="64" fillId="0" borderId="0" xfId="0" applyFont="1" applyBorder="1" applyAlignment="1">
      <alignment vertical="top"/>
    </xf>
    <xf numFmtId="0" fontId="53" fillId="0" borderId="0" xfId="0" applyFont="1" applyBorder="1" applyAlignment="1" applyProtection="1">
      <alignment horizontal="center" vertical="center"/>
      <protection locked="0"/>
    </xf>
    <xf numFmtId="0" fontId="53" fillId="0" borderId="17" xfId="0" applyFont="1" applyBorder="1" applyAlignment="1" applyProtection="1">
      <alignment horizontal="center" vertical="center"/>
      <protection locked="0"/>
    </xf>
    <xf numFmtId="0" fontId="53" fillId="0" borderId="11" xfId="0" applyFont="1" applyBorder="1" applyAlignment="1" applyProtection="1">
      <alignment horizontal="center" vertical="center"/>
      <protection locked="0"/>
    </xf>
    <xf numFmtId="0" fontId="53" fillId="0" borderId="23" xfId="0" applyFont="1" applyBorder="1" applyAlignment="1" applyProtection="1">
      <alignment horizontal="center" vertical="center"/>
      <protection locked="0"/>
    </xf>
    <xf numFmtId="0" fontId="53" fillId="0" borderId="24" xfId="0" applyFont="1" applyBorder="1" applyAlignment="1" applyProtection="1">
      <alignment horizontal="center" vertical="center"/>
      <protection locked="0"/>
    </xf>
    <xf numFmtId="0" fontId="53" fillId="0" borderId="21" xfId="0" applyFont="1" applyBorder="1" applyAlignment="1" applyProtection="1">
      <alignment horizontal="center" vertical="center"/>
      <protection locked="0"/>
    </xf>
    <xf numFmtId="0" fontId="32" fillId="0" borderId="11" xfId="0" applyFont="1" applyBorder="1" applyAlignment="1">
      <alignment horizontal="left" vertical="center"/>
    </xf>
    <xf numFmtId="0" fontId="32" fillId="0" borderId="20" xfId="0" applyFont="1" applyBorder="1" applyAlignment="1">
      <alignment horizontal="left" vertical="center"/>
    </xf>
    <xf numFmtId="0" fontId="10" fillId="0" borderId="11" xfId="0" applyFont="1" applyBorder="1" applyAlignment="1">
      <alignment horizontal="left" vertical="center"/>
    </xf>
    <xf numFmtId="0" fontId="10" fillId="0" borderId="20" xfId="0" applyFont="1" applyBorder="1" applyAlignment="1">
      <alignment horizontal="left" vertical="center"/>
    </xf>
    <xf numFmtId="1" fontId="3" fillId="0" borderId="21" xfId="0" quotePrefix="1" applyNumberFormat="1" applyFont="1" applyBorder="1" applyAlignment="1">
      <alignment horizontal="center" vertical="center"/>
    </xf>
    <xf numFmtId="165" fontId="3" fillId="0" borderId="21" xfId="0" quotePrefix="1" applyNumberFormat="1" applyFont="1" applyBorder="1" applyAlignment="1">
      <alignment horizontal="center" vertical="center"/>
    </xf>
    <xf numFmtId="1" fontId="3" fillId="0" borderId="21" xfId="0" applyNumberFormat="1" applyFont="1" applyBorder="1" applyAlignment="1">
      <alignment horizontal="center" vertical="center"/>
    </xf>
    <xf numFmtId="165" fontId="3" fillId="0" borderId="21" xfId="0" applyNumberFormat="1" applyFont="1" applyBorder="1" applyAlignment="1">
      <alignment horizontal="center" vertical="center"/>
    </xf>
    <xf numFmtId="1" fontId="3" fillId="0" borderId="24" xfId="0" applyNumberFormat="1" applyFont="1" applyBorder="1" applyAlignment="1">
      <alignment horizontal="center" vertical="center"/>
    </xf>
    <xf numFmtId="0" fontId="12" fillId="0" borderId="11" xfId="0" quotePrefix="1" applyFont="1" applyBorder="1" applyAlignment="1">
      <alignment horizontal="center" vertical="center"/>
    </xf>
    <xf numFmtId="0" fontId="17" fillId="0" borderId="15" xfId="0" quotePrefix="1" applyFont="1" applyBorder="1" applyAlignment="1">
      <alignment horizontal="center" vertical="center" wrapText="1"/>
    </xf>
    <xf numFmtId="0" fontId="32" fillId="0" borderId="10"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2" fontId="17" fillId="0" borderId="14" xfId="0" quotePrefix="1" applyNumberFormat="1" applyFont="1" applyBorder="1" applyAlignment="1">
      <alignment horizontal="center" vertical="center"/>
    </xf>
    <xf numFmtId="2" fontId="60" fillId="0" borderId="17" xfId="0" applyNumberFormat="1" applyFont="1" applyBorder="1" applyAlignment="1">
      <alignment horizontal="center" vertical="center"/>
    </xf>
    <xf numFmtId="0" fontId="41" fillId="0" borderId="17" xfId="0" applyFont="1" applyBorder="1" applyAlignment="1">
      <alignment horizontal="center"/>
    </xf>
    <xf numFmtId="0" fontId="48" fillId="0" borderId="17" xfId="0" applyFont="1" applyBorder="1" applyAlignment="1">
      <alignment horizontal="center" vertical="center" wrapText="1"/>
    </xf>
    <xf numFmtId="1" fontId="9" fillId="0" borderId="17" xfId="0" applyNumberFormat="1" applyFont="1" applyBorder="1" applyAlignment="1">
      <alignment horizontal="center" vertical="center"/>
    </xf>
    <xf numFmtId="0" fontId="92" fillId="0" borderId="10" xfId="0" applyFont="1" applyBorder="1" applyAlignment="1">
      <alignment horizontal="center" vertical="center" wrapText="1"/>
    </xf>
    <xf numFmtId="0" fontId="92" fillId="0" borderId="0" xfId="0" applyFont="1" applyBorder="1" applyAlignment="1">
      <alignment horizontal="center" vertical="center" wrapText="1"/>
    </xf>
    <xf numFmtId="0" fontId="116" fillId="0" borderId="10" xfId="0" applyFont="1" applyBorder="1" applyAlignment="1">
      <alignment horizontal="left" vertical="top"/>
    </xf>
    <xf numFmtId="0" fontId="120" fillId="0" borderId="10" xfId="0" applyFont="1" applyBorder="1" applyAlignment="1">
      <alignment horizontal="right" vertical="center"/>
    </xf>
    <xf numFmtId="1" fontId="48" fillId="0" borderId="21" xfId="0" applyNumberFormat="1" applyFont="1" applyBorder="1" applyAlignment="1">
      <alignment horizontal="center"/>
    </xf>
    <xf numFmtId="1" fontId="17" fillId="0" borderId="14" xfId="0" quotePrefix="1" applyNumberFormat="1" applyFont="1" applyBorder="1" applyAlignment="1">
      <alignment horizontal="center" vertical="center"/>
    </xf>
    <xf numFmtId="1" fontId="0" fillId="0" borderId="17" xfId="0" applyNumberFormat="1" applyBorder="1" applyAlignment="1">
      <alignment horizontal="center"/>
    </xf>
    <xf numFmtId="1" fontId="0" fillId="0" borderId="0" xfId="0" applyNumberFormat="1"/>
    <xf numFmtId="1" fontId="3" fillId="0" borderId="0" xfId="0" applyNumberFormat="1" applyFont="1" applyAlignment="1">
      <alignment horizontal="center"/>
    </xf>
    <xf numFmtId="1" fontId="17" fillId="0" borderId="13" xfId="0" quotePrefix="1" applyNumberFormat="1" applyFont="1" applyBorder="1" applyAlignment="1">
      <alignment horizontal="center" vertical="center"/>
    </xf>
    <xf numFmtId="1" fontId="17" fillId="0" borderId="16" xfId="0" quotePrefix="1" applyNumberFormat="1" applyFont="1" applyBorder="1" applyAlignment="1">
      <alignment horizontal="center" vertical="center"/>
    </xf>
    <xf numFmtId="0" fontId="48" fillId="0" borderId="0" xfId="0" applyFont="1" applyBorder="1" applyAlignment="1">
      <alignment horizontal="center" vertical="center" wrapText="1"/>
    </xf>
    <xf numFmtId="0" fontId="48" fillId="0" borderId="0" xfId="0" applyFont="1" applyBorder="1" applyAlignment="1">
      <alignment horizontal="center" vertical="center"/>
    </xf>
    <xf numFmtId="0" fontId="111" fillId="0" borderId="0" xfId="0" applyFont="1" applyBorder="1" applyAlignment="1">
      <alignment horizontal="right" vertical="center"/>
    </xf>
    <xf numFmtId="0" fontId="11" fillId="0" borderId="14" xfId="0" applyFont="1" applyBorder="1" applyAlignment="1">
      <alignment horizontal="left" vertical="center"/>
    </xf>
    <xf numFmtId="0" fontId="24" fillId="0" borderId="17" xfId="0" applyFont="1" applyBorder="1" applyAlignment="1">
      <alignment horizontal="center" vertical="center"/>
    </xf>
    <xf numFmtId="0" fontId="24" fillId="0" borderId="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52" fillId="0" borderId="12" xfId="0" applyFont="1" applyBorder="1" applyAlignment="1" applyProtection="1">
      <alignment horizontal="left" vertical="center"/>
      <protection locked="0"/>
    </xf>
    <xf numFmtId="0" fontId="19" fillId="0" borderId="17" xfId="0" applyFont="1" applyBorder="1" applyAlignment="1" applyProtection="1">
      <alignment horizontal="left" vertical="center" wrapText="1"/>
      <protection locked="0"/>
    </xf>
    <xf numFmtId="0" fontId="29" fillId="0" borderId="21" xfId="0" applyFont="1" applyBorder="1" applyAlignment="1">
      <alignment horizontal="center" vertical="center"/>
    </xf>
    <xf numFmtId="0" fontId="23" fillId="0" borderId="12" xfId="0" applyFont="1" applyBorder="1" applyAlignment="1">
      <alignment horizontal="left" vertical="center" wrapText="1"/>
    </xf>
    <xf numFmtId="164" fontId="3" fillId="0" borderId="12" xfId="0" quotePrefix="1" applyNumberFormat="1" applyFont="1" applyBorder="1" applyAlignment="1">
      <alignment horizontal="center" vertical="center"/>
    </xf>
    <xf numFmtId="164" fontId="0" fillId="0" borderId="0" xfId="0" applyNumberFormat="1"/>
    <xf numFmtId="164" fontId="3" fillId="0" borderId="12" xfId="0" quotePrefix="1" applyNumberFormat="1" applyFont="1" applyFill="1" applyBorder="1" applyAlignment="1">
      <alignment horizontal="center" vertical="center"/>
    </xf>
    <xf numFmtId="0" fontId="67" fillId="0" borderId="18" xfId="0" applyFont="1" applyBorder="1" applyAlignment="1">
      <alignment horizontal="center" vertical="top" wrapText="1"/>
    </xf>
    <xf numFmtId="0" fontId="16" fillId="0" borderId="0" xfId="0" applyFont="1" applyBorder="1" applyAlignment="1">
      <alignment horizontal="left" vertical="center"/>
    </xf>
    <xf numFmtId="0" fontId="15" fillId="0" borderId="10" xfId="0" applyFont="1" applyBorder="1" applyAlignment="1">
      <alignment horizontal="right" vertical="center"/>
    </xf>
    <xf numFmtId="0" fontId="115" fillId="0" borderId="0" xfId="0" applyFont="1" applyAlignment="1">
      <alignment horizontal="right" vertical="center"/>
    </xf>
    <xf numFmtId="0" fontId="115"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wrapText="1"/>
    </xf>
    <xf numFmtId="0" fontId="0" fillId="0" borderId="0" xfId="0" applyBorder="1" applyAlignment="1">
      <alignment horizontal="right" vertical="center"/>
    </xf>
    <xf numFmtId="0" fontId="114" fillId="0" borderId="0" xfId="0" applyFont="1" applyAlignment="1">
      <alignment vertical="center"/>
    </xf>
    <xf numFmtId="0" fontId="32" fillId="0" borderId="12" xfId="0" applyFont="1" applyBorder="1" applyAlignment="1">
      <alignment horizontal="center" vertical="center"/>
    </xf>
    <xf numFmtId="0" fontId="17" fillId="0" borderId="23" xfId="0" quotePrefix="1" applyFont="1" applyBorder="1" applyAlignment="1">
      <alignment horizontal="center" vertical="center"/>
    </xf>
    <xf numFmtId="0" fontId="17" fillId="0" borderId="22" xfId="0" quotePrefix="1" applyFont="1" applyBorder="1" applyAlignment="1">
      <alignment horizontal="center" vertical="center"/>
    </xf>
    <xf numFmtId="0" fontId="41" fillId="0" borderId="24" xfId="38" applyFont="1" applyFill="1" applyBorder="1" applyAlignment="1">
      <alignment horizontal="center" vertical="center"/>
    </xf>
    <xf numFmtId="0" fontId="41" fillId="0" borderId="22" xfId="38" applyFont="1" applyFill="1" applyBorder="1" applyAlignment="1">
      <alignment horizontal="center" vertical="center"/>
    </xf>
    <xf numFmtId="0" fontId="41" fillId="0" borderId="0" xfId="38" applyFont="1" applyFill="1" applyBorder="1" applyAlignment="1">
      <alignment horizontal="center" vertical="center"/>
    </xf>
    <xf numFmtId="0" fontId="41" fillId="0" borderId="12" xfId="38" applyFont="1" applyFill="1" applyBorder="1" applyAlignment="1">
      <alignment horizontal="center" vertical="center"/>
    </xf>
    <xf numFmtId="0" fontId="41" fillId="0" borderId="19" xfId="38" applyFont="1" applyFill="1" applyBorder="1" applyAlignment="1">
      <alignment horizontal="center" vertical="center"/>
    </xf>
    <xf numFmtId="0" fontId="41" fillId="0" borderId="10" xfId="38" applyFont="1" applyFill="1" applyBorder="1" applyAlignment="1">
      <alignment horizontal="center" vertical="center"/>
    </xf>
    <xf numFmtId="0" fontId="151" fillId="0" borderId="18" xfId="38" applyFont="1" applyFill="1" applyBorder="1" applyAlignment="1">
      <alignment horizontal="center" vertical="center"/>
    </xf>
    <xf numFmtId="0" fontId="151" fillId="0" borderId="20" xfId="38" applyFont="1" applyFill="1" applyBorder="1" applyAlignment="1">
      <alignment horizontal="center" vertical="center"/>
    </xf>
    <xf numFmtId="2" fontId="0" fillId="0" borderId="19" xfId="0" applyNumberFormat="1" applyBorder="1" applyAlignment="1">
      <alignment horizontal="center" vertical="center"/>
    </xf>
    <xf numFmtId="2" fontId="0" fillId="0" borderId="12" xfId="0" applyNumberFormat="1" applyBorder="1" applyAlignment="1">
      <alignment horizontal="center" vertical="center"/>
    </xf>
    <xf numFmtId="0" fontId="25" fillId="0" borderId="12" xfId="0" applyFont="1" applyBorder="1" applyAlignment="1" applyProtection="1">
      <alignment horizontal="left" vertical="center"/>
      <protection locked="0"/>
    </xf>
    <xf numFmtId="0" fontId="60" fillId="0" borderId="15" xfId="0" applyFont="1" applyBorder="1" applyAlignment="1" applyProtection="1">
      <alignment horizontal="center" vertical="center"/>
      <protection locked="0"/>
    </xf>
    <xf numFmtId="0" fontId="25" fillId="0" borderId="21" xfId="0" quotePrefix="1" applyFont="1" applyBorder="1" applyAlignment="1" applyProtection="1">
      <alignment horizontal="center" vertical="center"/>
      <protection locked="0"/>
    </xf>
    <xf numFmtId="0" fontId="34" fillId="0" borderId="16" xfId="0" quotePrefix="1" applyFont="1" applyBorder="1" applyAlignment="1" applyProtection="1">
      <alignment horizontal="center" vertical="center"/>
      <protection locked="0"/>
    </xf>
    <xf numFmtId="0" fontId="25" fillId="0" borderId="0" xfId="0" applyFont="1" applyBorder="1" applyAlignment="1">
      <alignment horizontal="center" vertical="center"/>
    </xf>
    <xf numFmtId="2" fontId="25" fillId="0" borderId="24" xfId="0" applyNumberFormat="1" applyFont="1" applyBorder="1" applyAlignment="1">
      <alignment horizontal="center" vertical="center"/>
    </xf>
    <xf numFmtId="2" fontId="25" fillId="0" borderId="23" xfId="0" applyNumberFormat="1" applyFont="1" applyBorder="1" applyAlignment="1">
      <alignment horizontal="center" vertical="center"/>
    </xf>
    <xf numFmtId="2" fontId="25" fillId="0" borderId="12" xfId="0" applyNumberFormat="1" applyFont="1" applyBorder="1" applyAlignment="1">
      <alignment horizontal="center" vertical="center"/>
    </xf>
    <xf numFmtId="2" fontId="34" fillId="0" borderId="15" xfId="0" applyNumberFormat="1" applyFont="1" applyBorder="1" applyAlignment="1">
      <alignment horizontal="center" vertical="center"/>
    </xf>
    <xf numFmtId="49" fontId="25" fillId="0" borderId="17" xfId="0" applyNumberFormat="1" applyFont="1" applyBorder="1" applyAlignment="1" applyProtection="1">
      <alignment horizontal="center" vertical="center"/>
      <protection locked="0"/>
    </xf>
    <xf numFmtId="0" fontId="151" fillId="0" borderId="0" xfId="38" applyFont="1" applyFill="1" applyBorder="1" applyAlignment="1">
      <alignment horizontal="center" vertical="center"/>
    </xf>
    <xf numFmtId="0" fontId="25" fillId="0" borderId="21" xfId="0" applyFont="1" applyBorder="1" applyAlignment="1">
      <alignment horizontal="center"/>
    </xf>
    <xf numFmtId="0" fontId="3" fillId="0" borderId="18" xfId="0" quotePrefix="1" applyFont="1" applyBorder="1" applyAlignment="1" applyProtection="1">
      <alignment horizontal="center"/>
      <protection locked="0"/>
    </xf>
    <xf numFmtId="0" fontId="114" fillId="0" borderId="0" xfId="0" applyFont="1" applyFill="1" applyBorder="1" applyAlignment="1">
      <alignment horizontal="right"/>
    </xf>
    <xf numFmtId="0" fontId="114" fillId="0" borderId="0" xfId="0" applyFont="1"/>
    <xf numFmtId="0" fontId="114" fillId="0" borderId="0" xfId="0" applyFont="1" applyFill="1" applyBorder="1" applyAlignment="1">
      <alignment horizontal="left"/>
    </xf>
    <xf numFmtId="0" fontId="89" fillId="0" borderId="0" xfId="0" applyFont="1" applyBorder="1"/>
    <xf numFmtId="0" fontId="32" fillId="0" borderId="17" xfId="0" applyFont="1" applyBorder="1" applyAlignment="1">
      <alignment horizontal="left" vertical="center"/>
    </xf>
    <xf numFmtId="0" fontId="9" fillId="0" borderId="21" xfId="0" applyFont="1" applyBorder="1" applyAlignment="1">
      <alignment horizontal="center" vertical="center"/>
    </xf>
    <xf numFmtId="0" fontId="32" fillId="0" borderId="17" xfId="0" applyFont="1" applyBorder="1" applyAlignment="1">
      <alignment horizontal="left" vertical="center" wrapText="1"/>
    </xf>
    <xf numFmtId="0" fontId="25" fillId="0" borderId="24"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1" fontId="3" fillId="0" borderId="0" xfId="0" quotePrefix="1" applyNumberFormat="1" applyFont="1" applyBorder="1" applyAlignment="1">
      <alignment horizontal="center" vertical="center"/>
    </xf>
    <xf numFmtId="1" fontId="3" fillId="0" borderId="12" xfId="0" quotePrefix="1" applyNumberFormat="1" applyFont="1" applyBorder="1" applyAlignment="1">
      <alignment horizontal="center" vertical="center"/>
    </xf>
    <xf numFmtId="1" fontId="19" fillId="0" borderId="13" xfId="0" applyNumberFormat="1" applyFont="1" applyBorder="1" applyAlignment="1">
      <alignment horizontal="center" vertical="center"/>
    </xf>
    <xf numFmtId="1" fontId="3" fillId="0" borderId="12" xfId="0" quotePrefix="1" applyNumberFormat="1" applyFont="1" applyFill="1" applyBorder="1" applyAlignment="1">
      <alignment horizontal="center" vertical="center"/>
    </xf>
    <xf numFmtId="2" fontId="2" fillId="0" borderId="17" xfId="0" applyNumberFormat="1" applyFont="1" applyBorder="1" applyAlignment="1">
      <alignment horizontal="center" vertical="center"/>
    </xf>
    <xf numFmtId="2" fontId="2" fillId="0" borderId="11" xfId="0" applyNumberFormat="1" applyFont="1" applyBorder="1" applyAlignment="1">
      <alignment horizontal="center" vertical="center"/>
    </xf>
    <xf numFmtId="0" fontId="19" fillId="0" borderId="16" xfId="0" applyFont="1" applyFill="1" applyBorder="1" applyAlignment="1">
      <alignment horizontal="center" vertical="center"/>
    </xf>
    <xf numFmtId="0" fontId="19" fillId="0" borderId="21" xfId="0" applyFont="1" applyBorder="1" applyAlignment="1" applyProtection="1">
      <alignment vertical="center"/>
      <protection locked="0"/>
    </xf>
    <xf numFmtId="2" fontId="19" fillId="0" borderId="21" xfId="0" applyNumberFormat="1" applyFont="1" applyBorder="1" applyAlignment="1">
      <alignment horizontal="center" vertical="center"/>
    </xf>
    <xf numFmtId="0" fontId="19" fillId="0" borderId="24"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24" fillId="0" borderId="10" xfId="0" applyFont="1" applyBorder="1" applyAlignment="1">
      <alignment horizontal="center" vertical="center"/>
    </xf>
    <xf numFmtId="0" fontId="24" fillId="0" borderId="19" xfId="0" applyFont="1" applyBorder="1" applyAlignment="1">
      <alignment horizontal="center" vertical="center"/>
    </xf>
    <xf numFmtId="0" fontId="152" fillId="0" borderId="0" xfId="0" applyFont="1" applyAlignment="1">
      <alignment vertical="center"/>
    </xf>
    <xf numFmtId="0" fontId="89" fillId="0" borderId="0" xfId="0" applyFont="1" applyAlignment="1">
      <alignment vertical="center"/>
    </xf>
    <xf numFmtId="0" fontId="60" fillId="0" borderId="15" xfId="0" applyFont="1" applyBorder="1" applyAlignment="1">
      <alignment horizontal="center" vertical="center"/>
    </xf>
    <xf numFmtId="0" fontId="60" fillId="0" borderId="16" xfId="0" applyFont="1" applyBorder="1" applyAlignment="1">
      <alignment horizontal="center" vertical="center"/>
    </xf>
    <xf numFmtId="2" fontId="60" fillId="0" borderId="16" xfId="0" applyNumberFormat="1" applyFont="1" applyBorder="1" applyAlignment="1">
      <alignment horizontal="center" vertical="center"/>
    </xf>
    <xf numFmtId="0" fontId="3" fillId="0" borderId="12"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25" fillId="0" borderId="24" xfId="0" applyFont="1" applyBorder="1" applyAlignment="1" applyProtection="1">
      <alignment horizontal="left" vertical="center"/>
      <protection locked="0"/>
    </xf>
    <xf numFmtId="0" fontId="25" fillId="0" borderId="22" xfId="0" applyFont="1" applyBorder="1" applyAlignment="1">
      <alignment horizontal="center" vertical="center"/>
    </xf>
    <xf numFmtId="0" fontId="0" fillId="0" borderId="12" xfId="0" applyBorder="1" applyAlignment="1">
      <alignment horizontal="left" vertical="center"/>
    </xf>
    <xf numFmtId="0" fontId="116" fillId="0" borderId="0" xfId="0" applyFont="1" applyAlignment="1">
      <alignment horizontal="right"/>
    </xf>
    <xf numFmtId="0" fontId="115" fillId="0" borderId="0" xfId="0" applyFont="1" applyAlignment="1">
      <alignment horizontal="left"/>
    </xf>
    <xf numFmtId="2" fontId="126" fillId="0" borderId="0" xfId="0" applyNumberFormat="1" applyFont="1" applyBorder="1" applyAlignment="1">
      <alignment horizontal="right" vertical="center"/>
    </xf>
    <xf numFmtId="0" fontId="0" fillId="0" borderId="19" xfId="0" applyBorder="1" applyAlignment="1">
      <alignment horizontal="left" vertical="center"/>
    </xf>
    <xf numFmtId="0" fontId="0" fillId="0" borderId="17" xfId="0" applyBorder="1" applyAlignment="1">
      <alignment horizontal="left" vertical="center"/>
    </xf>
    <xf numFmtId="2" fontId="25" fillId="0" borderId="0" xfId="0" applyNumberFormat="1" applyFont="1" applyBorder="1" applyAlignment="1">
      <alignment horizontal="center" vertical="center"/>
    </xf>
    <xf numFmtId="0" fontId="15" fillId="0" borderId="14" xfId="0" applyFont="1" applyBorder="1" applyAlignment="1">
      <alignment horizontal="center" vertical="center" wrapText="1"/>
    </xf>
    <xf numFmtId="0" fontId="19" fillId="0" borderId="16" xfId="0" applyFont="1" applyBorder="1" applyAlignment="1">
      <alignment horizontal="left" vertical="center"/>
    </xf>
    <xf numFmtId="2" fontId="0" fillId="0" borderId="0" xfId="0" applyNumberFormat="1" applyAlignment="1">
      <alignment horizontal="center" vertical="center"/>
    </xf>
    <xf numFmtId="2" fontId="23" fillId="0" borderId="19" xfId="39" applyNumberFormat="1" applyFont="1" applyFill="1" applyBorder="1" applyAlignment="1">
      <alignment horizontal="center" vertical="center"/>
    </xf>
    <xf numFmtId="2" fontId="23" fillId="0" borderId="18" xfId="39" applyNumberFormat="1" applyFont="1" applyFill="1" applyBorder="1" applyAlignment="1">
      <alignment horizontal="center" vertical="center"/>
    </xf>
    <xf numFmtId="2" fontId="23" fillId="0" borderId="10" xfId="39" applyNumberFormat="1" applyFont="1" applyFill="1" applyBorder="1" applyAlignment="1">
      <alignment horizontal="center" vertical="center"/>
    </xf>
    <xf numFmtId="2" fontId="23" fillId="0" borderId="20" xfId="39" applyNumberFormat="1" applyFont="1" applyFill="1" applyBorder="1" applyAlignment="1">
      <alignment horizontal="center" vertical="center"/>
    </xf>
    <xf numFmtId="2" fontId="23" fillId="0" borderId="16" xfId="0" applyNumberFormat="1" applyFont="1" applyFill="1" applyBorder="1" applyAlignment="1">
      <alignment horizontal="center" vertical="center"/>
    </xf>
    <xf numFmtId="0" fontId="15" fillId="0" borderId="16" xfId="0" quotePrefix="1" applyFont="1" applyBorder="1" applyAlignment="1">
      <alignment horizontal="center" vertical="center"/>
    </xf>
    <xf numFmtId="0" fontId="5" fillId="0" borderId="0" xfId="0" applyFont="1" applyAlignment="1" applyProtection="1">
      <alignment vertical="center"/>
      <protection locked="0"/>
    </xf>
    <xf numFmtId="0" fontId="29" fillId="0" borderId="0" xfId="0" applyFont="1" applyAlignment="1">
      <alignment vertical="center"/>
    </xf>
    <xf numFmtId="0" fontId="35" fillId="0" borderId="0" xfId="0" applyFont="1" applyAlignment="1">
      <alignment vertical="center"/>
    </xf>
    <xf numFmtId="0" fontId="153" fillId="0" borderId="22" xfId="0" applyFont="1" applyBorder="1" applyAlignment="1">
      <alignment vertical="center" wrapText="1"/>
    </xf>
    <xf numFmtId="0" fontId="153" fillId="0" borderId="0" xfId="0" applyFont="1" applyAlignment="1">
      <alignment vertical="center" wrapText="1"/>
    </xf>
    <xf numFmtId="2" fontId="0" fillId="0" borderId="0" xfId="0" applyNumberFormat="1" applyAlignment="1">
      <alignment vertical="center"/>
    </xf>
    <xf numFmtId="0" fontId="114" fillId="0" borderId="0" xfId="0" applyFont="1" applyAlignment="1">
      <alignment horizontal="right"/>
    </xf>
    <xf numFmtId="0" fontId="150" fillId="0" borderId="0" xfId="0" applyFont="1" applyAlignment="1">
      <alignment horizontal="left"/>
    </xf>
    <xf numFmtId="0" fontId="149" fillId="0" borderId="0" xfId="0" applyFont="1" applyAlignment="1"/>
    <xf numFmtId="0" fontId="0" fillId="0" borderId="20" xfId="0" quotePrefix="1" applyBorder="1" applyAlignment="1">
      <alignment horizontal="center" vertical="center"/>
    </xf>
    <xf numFmtId="0" fontId="15" fillId="0" borderId="2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1" xfId="0" applyFont="1" applyFill="1" applyBorder="1" applyAlignment="1">
      <alignment horizontal="center" vertical="center"/>
    </xf>
    <xf numFmtId="0" fontId="14" fillId="0" borderId="22" xfId="0" applyFont="1" applyFill="1" applyBorder="1" applyAlignment="1">
      <alignment vertical="center"/>
    </xf>
    <xf numFmtId="1" fontId="9" fillId="0" borderId="21" xfId="0" applyNumberFormat="1" applyFont="1" applyBorder="1" applyAlignment="1">
      <alignment horizontal="center" vertical="center"/>
    </xf>
    <xf numFmtId="0" fontId="2" fillId="0" borderId="20" xfId="0" applyFont="1" applyBorder="1" applyAlignment="1">
      <alignment horizontal="left" vertical="top" wrapText="1"/>
    </xf>
    <xf numFmtId="0" fontId="2" fillId="0" borderId="11" xfId="0" applyFont="1" applyBorder="1" applyAlignment="1">
      <alignment horizontal="left" vertical="center" wrapText="1"/>
    </xf>
    <xf numFmtId="165" fontId="3" fillId="0" borderId="18" xfId="0" quotePrefix="1" applyNumberFormat="1" applyFont="1" applyBorder="1" applyAlignment="1">
      <alignment horizontal="center" vertical="center"/>
    </xf>
    <xf numFmtId="1" fontId="3" fillId="0" borderId="18" xfId="0" quotePrefix="1" applyNumberFormat="1" applyFont="1" applyBorder="1" applyAlignment="1">
      <alignment horizontal="center" vertical="center"/>
    </xf>
    <xf numFmtId="1" fontId="3" fillId="0" borderId="19" xfId="0" quotePrefix="1" applyNumberFormat="1" applyFont="1" applyBorder="1" applyAlignment="1">
      <alignment horizontal="center" vertical="center"/>
    </xf>
    <xf numFmtId="1" fontId="3" fillId="0" borderId="10" xfId="0" quotePrefix="1" applyNumberFormat="1" applyFont="1" applyBorder="1" applyAlignment="1">
      <alignment horizontal="center" vertical="center"/>
    </xf>
    <xf numFmtId="165" fontId="3" fillId="0" borderId="19" xfId="0" quotePrefix="1" applyNumberFormat="1" applyFont="1" applyBorder="1" applyAlignment="1">
      <alignment horizontal="center" vertical="center"/>
    </xf>
    <xf numFmtId="0" fontId="155" fillId="0" borderId="0" xfId="0" applyFont="1" applyAlignment="1">
      <alignment vertical="center"/>
    </xf>
    <xf numFmtId="0" fontId="157" fillId="0" borderId="0" xfId="0" applyFont="1" applyAlignment="1">
      <alignment vertical="center"/>
    </xf>
    <xf numFmtId="0" fontId="126" fillId="0" borderId="0" xfId="0" applyFont="1" applyProtection="1">
      <protection locked="0"/>
    </xf>
    <xf numFmtId="0" fontId="0" fillId="0" borderId="10" xfId="0" applyBorder="1" applyAlignment="1" applyProtection="1">
      <alignment vertical="center"/>
      <protection locked="0"/>
    </xf>
    <xf numFmtId="0" fontId="12" fillId="0" borderId="10" xfId="0" applyFont="1" applyBorder="1" applyAlignment="1" applyProtection="1">
      <alignment horizontal="right" vertical="center"/>
      <protection locked="0"/>
    </xf>
    <xf numFmtId="0" fontId="15" fillId="0" borderId="21"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7" fillId="0" borderId="16" xfId="0" quotePrefix="1" applyFont="1" applyBorder="1" applyAlignment="1" applyProtection="1">
      <alignment horizontal="center" vertical="center"/>
      <protection locked="0"/>
    </xf>
    <xf numFmtId="0" fontId="17" fillId="0" borderId="23" xfId="0" quotePrefix="1"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41" fillId="0" borderId="21" xfId="0" applyFont="1" applyBorder="1" applyAlignment="1" applyProtection="1">
      <alignment horizontal="center" vertical="center"/>
    </xf>
    <xf numFmtId="0" fontId="41" fillId="0" borderId="17" xfId="0" applyFont="1" applyBorder="1" applyAlignment="1" applyProtection="1">
      <alignment horizontal="center" vertical="center"/>
    </xf>
    <xf numFmtId="0" fontId="16" fillId="0" borderId="18" xfId="0" applyFont="1" applyBorder="1" applyAlignment="1" applyProtection="1">
      <alignment horizontal="center" vertical="center"/>
      <protection locked="0"/>
    </xf>
    <xf numFmtId="0" fontId="3" fillId="0" borderId="18" xfId="0" applyFont="1" applyBorder="1" applyAlignment="1" applyProtection="1">
      <alignment horizontal="center" vertical="center"/>
    </xf>
    <xf numFmtId="0" fontId="28" fillId="0" borderId="0" xfId="0" applyFont="1" applyBorder="1" applyAlignment="1" applyProtection="1">
      <alignment horizontal="center" vertical="center"/>
    </xf>
    <xf numFmtId="0" fontId="15" fillId="0" borderId="16" xfId="0" applyFont="1" applyBorder="1" applyAlignment="1" applyProtection="1">
      <alignment horizontal="center" vertical="center" wrapText="1"/>
      <protection locked="0"/>
    </xf>
    <xf numFmtId="0" fontId="34" fillId="0" borderId="17" xfId="0" applyFont="1" applyBorder="1" applyAlignment="1" applyProtection="1">
      <alignment horizontal="center" vertical="center"/>
    </xf>
    <xf numFmtId="0" fontId="57" fillId="0" borderId="0" xfId="0" applyFont="1" applyBorder="1" applyAlignment="1" applyProtection="1">
      <alignment horizontal="center" vertical="center"/>
    </xf>
    <xf numFmtId="0" fontId="16" fillId="0" borderId="17" xfId="0" applyFont="1" applyBorder="1" applyAlignment="1" applyProtection="1">
      <alignment horizontal="center" vertical="center"/>
    </xf>
    <xf numFmtId="0" fontId="41" fillId="0" borderId="18" xfId="0" applyFont="1" applyBorder="1" applyAlignment="1" applyProtection="1">
      <alignment horizontal="center" vertical="center"/>
    </xf>
    <xf numFmtId="0" fontId="126" fillId="0" borderId="0" xfId="0" applyFont="1" applyAlignment="1" applyProtection="1">
      <alignment vertical="center"/>
      <protection locked="0"/>
    </xf>
    <xf numFmtId="0" fontId="0" fillId="0" borderId="19" xfId="0" applyBorder="1" applyAlignment="1">
      <alignment vertical="center"/>
    </xf>
    <xf numFmtId="0" fontId="3" fillId="0" borderId="11" xfId="0" quotePrefix="1" applyFont="1" applyBorder="1" applyAlignment="1" applyProtection="1">
      <alignment horizontal="center" vertical="center"/>
      <protection locked="0"/>
    </xf>
    <xf numFmtId="0" fontId="3" fillId="0" borderId="19" xfId="0" quotePrefix="1" applyFont="1" applyBorder="1" applyAlignment="1" applyProtection="1">
      <alignment horizontal="center" vertical="center"/>
      <protection locked="0"/>
    </xf>
    <xf numFmtId="0" fontId="3" fillId="0" borderId="18" xfId="0" quotePrefix="1" applyFont="1" applyBorder="1" applyAlignment="1" applyProtection="1">
      <alignment horizontal="center" vertical="center"/>
      <protection locked="0"/>
    </xf>
    <xf numFmtId="0" fontId="25" fillId="0" borderId="11" xfId="0" applyFont="1" applyBorder="1" applyAlignment="1">
      <alignment horizontal="left" vertical="center"/>
    </xf>
    <xf numFmtId="0" fontId="157" fillId="0" borderId="0" xfId="0" applyFont="1" applyProtection="1">
      <protection locked="0"/>
    </xf>
    <xf numFmtId="0" fontId="25" fillId="0" borderId="23" xfId="0" applyFont="1" applyBorder="1" applyAlignment="1">
      <alignment vertical="center"/>
    </xf>
    <xf numFmtId="0" fontId="0" fillId="0" borderId="17" xfId="0" applyFill="1" applyBorder="1" applyAlignment="1" applyProtection="1">
      <alignment horizontal="center" vertical="center"/>
      <protection locked="0"/>
    </xf>
    <xf numFmtId="0" fontId="25" fillId="0" borderId="17" xfId="0" applyFont="1" applyBorder="1" applyAlignment="1">
      <alignment horizontal="left" vertical="center"/>
    </xf>
    <xf numFmtId="0" fontId="12" fillId="0" borderId="0" xfId="0" applyFont="1" applyBorder="1" applyAlignment="1" applyProtection="1">
      <alignment horizontal="right" vertical="center"/>
      <protection locked="0"/>
    </xf>
    <xf numFmtId="0" fontId="14" fillId="0" borderId="0" xfId="0" applyFont="1" applyBorder="1" applyAlignment="1" applyProtection="1">
      <alignment horizontal="right" vertical="center"/>
      <protection locked="0"/>
    </xf>
    <xf numFmtId="0" fontId="10" fillId="0" borderId="13" xfId="0" applyFont="1" applyBorder="1" applyAlignment="1">
      <alignment horizontal="center" vertical="center" wrapText="1"/>
    </xf>
    <xf numFmtId="0" fontId="0" fillId="0" borderId="0" xfId="0" applyAlignment="1">
      <alignment horizontal="right" vertical="top"/>
    </xf>
    <xf numFmtId="0" fontId="126" fillId="0" borderId="0" xfId="0" applyFont="1" applyBorder="1"/>
    <xf numFmtId="0" fontId="157" fillId="0" borderId="0" xfId="0" applyFont="1"/>
    <xf numFmtId="0" fontId="32" fillId="0" borderId="17" xfId="0" applyFont="1" applyBorder="1" applyAlignment="1">
      <alignment vertical="center" wrapText="1"/>
    </xf>
    <xf numFmtId="0" fontId="20" fillId="0" borderId="11" xfId="0" applyFont="1" applyBorder="1" applyAlignment="1">
      <alignment vertical="center" wrapText="1"/>
    </xf>
    <xf numFmtId="0" fontId="144" fillId="0" borderId="0" xfId="0" applyFont="1" applyAlignment="1">
      <alignment horizontal="center" vertical="center"/>
    </xf>
    <xf numFmtId="0" fontId="159" fillId="0" borderId="0" xfId="0" applyFont="1" applyBorder="1" applyAlignment="1">
      <alignment horizontal="center" vertical="center"/>
    </xf>
    <xf numFmtId="0" fontId="126" fillId="0" borderId="0" xfId="0" applyFont="1"/>
    <xf numFmtId="0" fontId="126" fillId="0" borderId="0" xfId="0" applyFont="1" applyAlignment="1">
      <alignment horizontal="left" vertical="center"/>
    </xf>
    <xf numFmtId="2" fontId="0" fillId="0" borderId="22" xfId="0" applyNumberFormat="1" applyBorder="1" applyAlignment="1">
      <alignment horizontal="center" vertical="center"/>
    </xf>
    <xf numFmtId="166" fontId="0" fillId="0" borderId="11" xfId="0" applyNumberFormat="1" applyBorder="1" applyAlignment="1" applyProtection="1">
      <alignment horizontal="center" vertical="center"/>
    </xf>
    <xf numFmtId="165" fontId="0" fillId="0" borderId="12" xfId="0" quotePrefix="1" applyNumberFormat="1" applyBorder="1" applyAlignment="1">
      <alignment horizontal="center" vertical="center"/>
    </xf>
    <xf numFmtId="2" fontId="3" fillId="0" borderId="12" xfId="0" quotePrefix="1" applyNumberFormat="1" applyFont="1" applyBorder="1" applyAlignment="1" applyProtection="1">
      <alignment horizontal="center" vertical="center"/>
      <protection locked="0"/>
    </xf>
    <xf numFmtId="0" fontId="0" fillId="0" borderId="21" xfId="0" quotePrefix="1" applyBorder="1" applyAlignment="1">
      <alignment horizontal="center" vertical="center"/>
    </xf>
    <xf numFmtId="1" fontId="0" fillId="0" borderId="0" xfId="0" applyNumberFormat="1"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7" xfId="0" applyBorder="1" applyAlignment="1">
      <alignment horizontal="center" vertical="center"/>
    </xf>
    <xf numFmtId="0" fontId="2" fillId="0" borderId="21" xfId="0" applyFont="1" applyBorder="1" applyAlignment="1">
      <alignment horizontal="center" vertical="center"/>
    </xf>
    <xf numFmtId="0" fontId="3" fillId="0" borderId="21" xfId="0" applyFont="1" applyBorder="1" applyAlignment="1" applyProtection="1">
      <alignment horizontal="center"/>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0" fillId="0" borderId="12" xfId="0" applyBorder="1" applyAlignment="1" applyProtection="1">
      <alignment horizontal="center" vertical="center"/>
      <protection locked="0"/>
    </xf>
    <xf numFmtId="0" fontId="0" fillId="0" borderId="17" xfId="0" applyBorder="1" applyAlignment="1">
      <alignment horizontal="center" vertical="center"/>
    </xf>
    <xf numFmtId="0" fontId="0" fillId="0" borderId="18" xfId="0" applyBorder="1" applyAlignment="1">
      <alignment horizontal="center" vertical="center"/>
    </xf>
    <xf numFmtId="2" fontId="0" fillId="0" borderId="0" xfId="0" applyNumberFormat="1" applyFill="1"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 fontId="0" fillId="0" borderId="21" xfId="0" applyNumberFormat="1" applyFill="1" applyBorder="1" applyAlignment="1">
      <alignment horizontal="center" vertical="center"/>
    </xf>
    <xf numFmtId="1" fontId="0" fillId="0" borderId="21" xfId="0" applyNumberFormat="1" applyBorder="1" applyAlignment="1">
      <alignment horizontal="center" vertical="center"/>
    </xf>
    <xf numFmtId="1" fontId="0" fillId="0" borderId="17" xfId="0" applyNumberFormat="1" applyFill="1" applyBorder="1" applyAlignment="1">
      <alignment horizontal="center" vertical="center"/>
    </xf>
    <xf numFmtId="1" fontId="0" fillId="0" borderId="17" xfId="0" applyNumberFormat="1" applyBorder="1" applyAlignment="1">
      <alignment horizontal="center" vertical="center"/>
    </xf>
    <xf numFmtId="1" fontId="0" fillId="0" borderId="18" xfId="0" applyNumberFormat="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7" fillId="0" borderId="13" xfId="0" quotePrefix="1" applyFont="1" applyBorder="1" applyAlignment="1">
      <alignment horizontal="center" vertical="center"/>
    </xf>
    <xf numFmtId="0" fontId="20" fillId="0" borderId="13" xfId="0" applyFont="1" applyBorder="1" applyAlignment="1">
      <alignment horizontal="center" vertical="center"/>
    </xf>
    <xf numFmtId="0" fontId="17" fillId="0" borderId="14" xfId="0" quotePrefix="1" applyFont="1" applyBorder="1" applyAlignment="1">
      <alignment horizontal="center" vertical="center"/>
    </xf>
    <xf numFmtId="0" fontId="0" fillId="0" borderId="19" xfId="0" applyBorder="1" applyAlignment="1">
      <alignment horizontal="center" vertical="center"/>
    </xf>
    <xf numFmtId="0" fontId="19" fillId="0" borderId="0" xfId="0" applyFont="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2" fontId="0" fillId="0" borderId="10" xfId="0" applyNumberFormat="1" applyBorder="1" applyAlignment="1">
      <alignment horizontal="center" vertical="center"/>
    </xf>
    <xf numFmtId="0" fontId="0" fillId="0" borderId="12" xfId="0" applyBorder="1" applyAlignment="1" applyProtection="1">
      <alignment horizontal="center" vertical="center"/>
      <protection locked="0"/>
    </xf>
    <xf numFmtId="0" fontId="12" fillId="0" borderId="19" xfId="0" applyFont="1" applyBorder="1" applyAlignment="1">
      <alignment horizontal="center" vertical="center"/>
    </xf>
    <xf numFmtId="0" fontId="12" fillId="0" borderId="12" xfId="0" applyFont="1" applyBorder="1" applyAlignment="1">
      <alignment horizontal="center" vertical="center"/>
    </xf>
    <xf numFmtId="0" fontId="16" fillId="0" borderId="16" xfId="0" applyFont="1" applyBorder="1" applyAlignment="1">
      <alignment horizontal="center" vertical="center"/>
    </xf>
    <xf numFmtId="2" fontId="0" fillId="0" borderId="0" xfId="0" applyNumberFormat="1" applyBorder="1" applyAlignment="1">
      <alignment horizontal="center" vertical="center"/>
    </xf>
    <xf numFmtId="0" fontId="31" fillId="0" borderId="14" xfId="0" applyFont="1" applyBorder="1" applyAlignment="1">
      <alignment horizontal="center" vertical="center"/>
    </xf>
    <xf numFmtId="0" fontId="17" fillId="0" borderId="13" xfId="0" quotePrefix="1" applyFont="1" applyFill="1" applyBorder="1" applyAlignment="1">
      <alignment horizontal="center" vertical="center"/>
    </xf>
    <xf numFmtId="0" fontId="29" fillId="0" borderId="16" xfId="0" applyFont="1" applyBorder="1" applyAlignment="1">
      <alignment horizontal="center" vertical="center"/>
    </xf>
    <xf numFmtId="0" fontId="20" fillId="0" borderId="18" xfId="0" applyFont="1" applyBorder="1" applyAlignment="1">
      <alignment horizontal="center" vertical="center"/>
    </xf>
    <xf numFmtId="0" fontId="33" fillId="0" borderId="18" xfId="0" applyFont="1" applyBorder="1" applyAlignment="1">
      <alignment horizontal="center" vertical="center"/>
    </xf>
    <xf numFmtId="0" fontId="31" fillId="0" borderId="21" xfId="0" applyFont="1" applyBorder="1" applyAlignment="1">
      <alignment horizontal="center" vertical="center"/>
    </xf>
    <xf numFmtId="0" fontId="31" fillId="0" borderId="17"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57" fillId="0" borderId="0" xfId="0" quotePrefix="1" applyFont="1"/>
    <xf numFmtId="0" fontId="34" fillId="0" borderId="23" xfId="0" applyFont="1" applyBorder="1" applyAlignment="1">
      <alignment horizontal="center" vertical="center"/>
    </xf>
    <xf numFmtId="2" fontId="3" fillId="0" borderId="10" xfId="0" applyNumberFormat="1" applyFont="1" applyBorder="1" applyAlignment="1" applyProtection="1">
      <alignment horizontal="center" vertical="center"/>
      <protection locked="0"/>
    </xf>
    <xf numFmtId="0" fontId="14" fillId="0" borderId="0" xfId="0" applyFont="1" applyAlignment="1">
      <alignment horizontal="right"/>
    </xf>
    <xf numFmtId="0" fontId="0" fillId="0" borderId="0" xfId="0"/>
    <xf numFmtId="0" fontId="14" fillId="0" borderId="0" xfId="0" applyFont="1" applyAlignment="1">
      <alignment horizontal="left"/>
    </xf>
    <xf numFmtId="0" fontId="15" fillId="0" borderId="20" xfId="0" applyFont="1" applyBorder="1" applyAlignment="1">
      <alignment horizontal="center" vertical="center"/>
    </xf>
    <xf numFmtId="0" fontId="15" fillId="0" borderId="13"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4" fillId="0" borderId="0" xfId="0" applyFont="1" applyAlignment="1" applyProtection="1">
      <alignment horizontal="center"/>
      <protection locked="0"/>
    </xf>
    <xf numFmtId="0" fontId="114" fillId="0" borderId="22" xfId="0" applyFont="1" applyBorder="1" applyAlignment="1">
      <alignment horizontal="left" vertical="center"/>
    </xf>
    <xf numFmtId="0" fontId="0" fillId="0" borderId="0" xfId="0"/>
    <xf numFmtId="0" fontId="20" fillId="0" borderId="17" xfId="0" applyFont="1" applyBorder="1" applyAlignment="1">
      <alignment horizontal="left" vertical="center" wrapText="1"/>
    </xf>
    <xf numFmtId="0" fontId="3" fillId="0" borderId="20" xfId="0" applyFont="1" applyBorder="1" applyAlignment="1">
      <alignment horizontal="center" vertical="center"/>
    </xf>
    <xf numFmtId="0" fontId="0" fillId="0" borderId="20" xfId="0" applyBorder="1" applyAlignment="1">
      <alignment horizontal="center" vertical="center"/>
    </xf>
    <xf numFmtId="0" fontId="105" fillId="0" borderId="0" xfId="0" applyFont="1" applyBorder="1" applyAlignment="1">
      <alignment horizontal="right"/>
    </xf>
    <xf numFmtId="0" fontId="3" fillId="0" borderId="18" xfId="0" applyFont="1" applyBorder="1"/>
    <xf numFmtId="0" fontId="20" fillId="0" borderId="20" xfId="0" applyFont="1" applyBorder="1" applyAlignment="1">
      <alignment vertical="center"/>
    </xf>
    <xf numFmtId="0" fontId="32" fillId="0" borderId="20" xfId="0" applyFont="1" applyBorder="1" applyAlignment="1">
      <alignment vertical="center"/>
    </xf>
    <xf numFmtId="0" fontId="14" fillId="0" borderId="10" xfId="0" applyFont="1" applyBorder="1" applyAlignment="1">
      <alignment horizontal="right" vertical="center"/>
    </xf>
    <xf numFmtId="0" fontId="0" fillId="0" borderId="11" xfId="0" quotePrefix="1" applyBorder="1" applyAlignment="1" applyProtection="1">
      <alignment horizont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0" fillId="0" borderId="11" xfId="0" applyBorder="1" applyAlignment="1">
      <alignment horizontal="center" vertical="center"/>
    </xf>
    <xf numFmtId="0" fontId="1" fillId="0" borderId="17" xfId="0" quotePrefix="1" applyFont="1" applyBorder="1" applyAlignment="1" applyProtection="1">
      <alignment horizontal="center" vertical="center"/>
      <protection locked="0"/>
    </xf>
    <xf numFmtId="0" fontId="1" fillId="0" borderId="0" xfId="0" quotePrefix="1" applyFont="1" applyBorder="1" applyAlignment="1" applyProtection="1">
      <alignment horizontal="center" vertical="center"/>
      <protection locked="0"/>
    </xf>
    <xf numFmtId="0" fontId="1" fillId="0" borderId="18" xfId="0" quotePrefix="1" applyFont="1" applyBorder="1" applyAlignment="1" applyProtection="1">
      <alignment horizontal="center" vertical="center"/>
      <protection locked="0"/>
    </xf>
    <xf numFmtId="0" fontId="1" fillId="0" borderId="10" xfId="0" quotePrefix="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 fillId="0" borderId="17" xfId="0" applyFont="1" applyBorder="1" applyAlignment="1">
      <alignment horizontal="center" vertical="center"/>
    </xf>
    <xf numFmtId="0" fontId="17" fillId="0" borderId="15" xfId="0" quotePrefix="1" applyFont="1" applyBorder="1" applyAlignment="1">
      <alignment horizontal="center" vertical="center"/>
    </xf>
    <xf numFmtId="0" fontId="17" fillId="0" borderId="13" xfId="0" quotePrefix="1" applyFont="1" applyBorder="1" applyAlignment="1">
      <alignment horizontal="center" vertical="center"/>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17" fillId="0" borderId="23" xfId="0" quotePrefix="1" applyFont="1" applyBorder="1" applyAlignment="1">
      <alignment horizontal="center" vertical="center"/>
    </xf>
    <xf numFmtId="0" fontId="0" fillId="0" borderId="11" xfId="0" applyBorder="1" applyAlignment="1">
      <alignment horizontal="center" vertical="center"/>
    </xf>
    <xf numFmtId="0" fontId="12" fillId="0" borderId="12" xfId="0" applyFont="1" applyBorder="1" applyAlignment="1">
      <alignment horizontal="center" vertical="center"/>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53" fillId="0" borderId="14" xfId="0" quotePrefix="1" applyFont="1" applyBorder="1" applyAlignment="1">
      <alignment horizontal="center" vertical="center"/>
    </xf>
    <xf numFmtId="0" fontId="0" fillId="0" borderId="0" xfId="0" applyAlignment="1"/>
    <xf numFmtId="0" fontId="33" fillId="0" borderId="19" xfId="0" applyFont="1" applyBorder="1" applyAlignment="1">
      <alignment horizontal="center" vertical="center"/>
    </xf>
    <xf numFmtId="0" fontId="0" fillId="0" borderId="0" xfId="0"/>
    <xf numFmtId="0" fontId="16" fillId="0" borderId="11" xfId="0" applyFont="1" applyBorder="1" applyAlignment="1">
      <alignment horizontal="center" vertical="center"/>
    </xf>
    <xf numFmtId="0" fontId="16" fillId="0" borderId="21" xfId="0" applyFont="1" applyBorder="1" applyAlignment="1">
      <alignment horizontal="center" vertical="center"/>
    </xf>
    <xf numFmtId="0" fontId="20" fillId="0" borderId="18"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0" fillId="0" borderId="17" xfId="0" applyFont="1" applyBorder="1" applyAlignment="1">
      <alignment horizontal="center" vertical="center" wrapText="1"/>
    </xf>
    <xf numFmtId="0" fontId="0" fillId="0" borderId="18" xfId="0" applyBorder="1" applyAlignment="1">
      <alignment horizontal="center" vertical="center"/>
    </xf>
    <xf numFmtId="0" fontId="1" fillId="0" borderId="12" xfId="0" applyFont="1" applyBorder="1" applyAlignment="1">
      <alignment horizontal="center" vertical="center"/>
    </xf>
    <xf numFmtId="0" fontId="160" fillId="0" borderId="0" xfId="0" applyFont="1" applyAlignment="1">
      <alignment horizontal="right"/>
    </xf>
    <xf numFmtId="0" fontId="1" fillId="0" borderId="16" xfId="0" applyFont="1" applyBorder="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vertical="center" wrapText="1"/>
    </xf>
    <xf numFmtId="0" fontId="1" fillId="0" borderId="11" xfId="0" applyFont="1" applyBorder="1" applyAlignment="1">
      <alignment vertical="center" wrapText="1"/>
    </xf>
    <xf numFmtId="0" fontId="1" fillId="0" borderId="17" xfId="0" applyFont="1" applyFill="1" applyBorder="1" applyAlignment="1">
      <alignment horizontal="center" vertical="center"/>
    </xf>
    <xf numFmtId="0" fontId="1" fillId="0" borderId="11" xfId="0" applyFont="1" applyBorder="1" applyAlignment="1">
      <alignment vertical="center"/>
    </xf>
    <xf numFmtId="0" fontId="1" fillId="0" borderId="18" xfId="0" applyFont="1" applyBorder="1" applyAlignment="1">
      <alignment horizontal="center" vertical="center"/>
    </xf>
    <xf numFmtId="0" fontId="1" fillId="0" borderId="10" xfId="0" applyFont="1" applyBorder="1" applyAlignment="1">
      <alignment vertical="center"/>
    </xf>
    <xf numFmtId="0" fontId="1" fillId="0" borderId="20" xfId="0" applyFont="1" applyBorder="1" applyAlignment="1">
      <alignment vertical="center"/>
    </xf>
    <xf numFmtId="0" fontId="17" fillId="0" borderId="21" xfId="0" quotePrefix="1" applyFont="1" applyBorder="1" applyAlignment="1">
      <alignment horizontal="center" vertical="center"/>
    </xf>
    <xf numFmtId="0" fontId="17" fillId="0" borderId="21" xfId="0" quotePrefix="1" applyFont="1" applyFill="1" applyBorder="1" applyAlignment="1">
      <alignment horizontal="center" vertical="center"/>
    </xf>
    <xf numFmtId="0" fontId="58" fillId="0" borderId="18" xfId="0" applyFont="1" applyBorder="1" applyAlignment="1">
      <alignment horizontal="center" vertical="center"/>
    </xf>
    <xf numFmtId="0" fontId="0" fillId="0" borderId="11" xfId="0" applyBorder="1" applyAlignment="1">
      <alignment horizontal="center"/>
    </xf>
    <xf numFmtId="0" fontId="58" fillId="0" borderId="20" xfId="0" applyFont="1" applyBorder="1" applyAlignment="1">
      <alignment horizontal="center" vertical="center"/>
    </xf>
    <xf numFmtId="0" fontId="58" fillId="0" borderId="18"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150" fillId="0" borderId="0" xfId="0" applyFont="1" applyAlignment="1">
      <alignment horizontal="left"/>
    </xf>
    <xf numFmtId="0" fontId="145" fillId="0" borderId="0" xfId="0" applyFont="1" applyAlignment="1">
      <alignment horizontal="center"/>
    </xf>
    <xf numFmtId="0" fontId="78" fillId="0" borderId="0" xfId="0" applyFont="1" applyAlignment="1">
      <alignment horizontal="center"/>
    </xf>
    <xf numFmtId="0" fontId="146" fillId="0" borderId="0" xfId="0" applyFont="1" applyAlignment="1">
      <alignment horizontal="center"/>
    </xf>
    <xf numFmtId="0" fontId="147" fillId="0" borderId="0" xfId="0" applyFont="1" applyAlignment="1">
      <alignment horizontal="center"/>
    </xf>
    <xf numFmtId="0" fontId="80" fillId="0" borderId="0" xfId="0" applyFont="1" applyAlignment="1">
      <alignment horizontal="center"/>
    </xf>
    <xf numFmtId="0" fontId="81" fillId="0" borderId="0" xfId="0" applyFont="1" applyAlignment="1">
      <alignment horizontal="center"/>
    </xf>
    <xf numFmtId="0" fontId="82" fillId="0" borderId="0" xfId="0" applyFont="1" applyAlignment="1">
      <alignment horizontal="center"/>
    </xf>
    <xf numFmtId="0" fontId="83" fillId="0" borderId="0" xfId="0" applyFont="1" applyAlignment="1">
      <alignment horizontal="center" vertical="top"/>
    </xf>
    <xf numFmtId="0" fontId="79" fillId="0" borderId="0" xfId="0" applyFont="1" applyAlignment="1">
      <alignment horizontal="center"/>
    </xf>
    <xf numFmtId="0" fontId="150" fillId="0" borderId="0" xfId="0" applyFont="1" applyAlignment="1">
      <alignment horizontal="left"/>
    </xf>
    <xf numFmtId="0" fontId="124" fillId="0" borderId="0" xfId="0" applyFont="1" applyAlignment="1">
      <alignment horizontal="justify" vertical="justify" wrapText="1"/>
    </xf>
    <xf numFmtId="0" fontId="125" fillId="0" borderId="0" xfId="0" applyFont="1" applyAlignment="1">
      <alignment horizontal="justify" vertical="justify" wrapText="1"/>
    </xf>
    <xf numFmtId="0" fontId="94" fillId="0" borderId="0" xfId="0" applyFont="1" applyAlignment="1">
      <alignment horizontal="justify" vertical="justify" wrapText="1"/>
    </xf>
    <xf numFmtId="0" fontId="94" fillId="0" borderId="0" xfId="0" applyFont="1" applyAlignment="1">
      <alignment wrapText="1"/>
    </xf>
    <xf numFmtId="0" fontId="0" fillId="0" borderId="0" xfId="0" applyAlignment="1">
      <alignment wrapText="1"/>
    </xf>
    <xf numFmtId="0" fontId="88" fillId="0" borderId="10" xfId="0" applyFont="1" applyBorder="1" applyAlignment="1">
      <alignment horizontal="center" vertical="center"/>
    </xf>
    <xf numFmtId="0" fontId="0" fillId="0" borderId="0" xfId="0" applyAlignment="1">
      <alignment horizontal="center"/>
    </xf>
    <xf numFmtId="0" fontId="32" fillId="0" borderId="0" xfId="0" applyFont="1" applyBorder="1" applyAlignment="1">
      <alignment horizontal="center"/>
    </xf>
    <xf numFmtId="0" fontId="72" fillId="0" borderId="0" xfId="0" applyFont="1" applyAlignment="1">
      <alignment horizontal="center" vertical="top"/>
    </xf>
    <xf numFmtId="0" fontId="72" fillId="0" borderId="0" xfId="0" applyFont="1" applyAlignment="1">
      <alignment horizontal="center" vertical="center"/>
    </xf>
    <xf numFmtId="0" fontId="96" fillId="0" borderId="0" xfId="0" applyFont="1" applyAlignment="1">
      <alignment horizontal="center" vertical="center"/>
    </xf>
    <xf numFmtId="0" fontId="12" fillId="0" borderId="0" xfId="0" applyFont="1" applyBorder="1" applyAlignment="1">
      <alignment horizontal="center"/>
    </xf>
    <xf numFmtId="0" fontId="7" fillId="0" borderId="22" xfId="0" applyFont="1" applyBorder="1" applyAlignment="1">
      <alignment vertical="top" wrapText="1"/>
    </xf>
    <xf numFmtId="0" fontId="3" fillId="0" borderId="0" xfId="0" applyFont="1" applyAlignment="1">
      <alignment vertical="top" wrapText="1"/>
    </xf>
    <xf numFmtId="0" fontId="11" fillId="0" borderId="0" xfId="0" applyFont="1" applyBorder="1" applyAlignment="1">
      <alignment horizontal="center"/>
    </xf>
    <xf numFmtId="0" fontId="32" fillId="0" borderId="12" xfId="0" applyFont="1" applyBorder="1" applyAlignment="1">
      <alignment horizontal="center" vertical="center"/>
    </xf>
    <xf numFmtId="0" fontId="32" fillId="0" borderId="0" xfId="0" applyFont="1" applyBorder="1" applyAlignment="1">
      <alignment horizontal="center" vertical="center"/>
    </xf>
    <xf numFmtId="0" fontId="19" fillId="0" borderId="15" xfId="0" applyFont="1" applyBorder="1" applyAlignment="1">
      <alignment horizontal="center" vertical="center"/>
    </xf>
    <xf numFmtId="0" fontId="19" fillId="0" borderId="13"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92" fillId="0" borderId="0" xfId="0" applyFont="1" applyAlignment="1">
      <alignment horizontal="center"/>
    </xf>
    <xf numFmtId="0" fontId="17" fillId="0" borderId="15" xfId="0" quotePrefix="1" applyFont="1" applyBorder="1" applyAlignment="1">
      <alignment horizontal="center" vertical="center"/>
    </xf>
    <xf numFmtId="0" fontId="17" fillId="0" borderId="13" xfId="0" quotePrefix="1" applyFont="1" applyBorder="1" applyAlignment="1">
      <alignment horizontal="center" vertical="center"/>
    </xf>
    <xf numFmtId="0" fontId="32" fillId="0" borderId="12" xfId="0" applyFont="1" applyFill="1" applyBorder="1" applyAlignment="1">
      <alignment horizontal="center" vertical="center"/>
    </xf>
    <xf numFmtId="0" fontId="32" fillId="0" borderId="0" xfId="0" applyFont="1" applyFill="1" applyBorder="1" applyAlignment="1">
      <alignment horizontal="center" vertical="center"/>
    </xf>
    <xf numFmtId="0" fontId="92" fillId="0" borderId="0" xfId="0" applyFont="1" applyAlignment="1">
      <alignment horizontal="center" vertical="center"/>
    </xf>
    <xf numFmtId="0" fontId="16" fillId="0" borderId="21" xfId="0" applyFont="1" applyBorder="1" applyAlignment="1">
      <alignment horizontal="center" vertical="center" wrapText="1"/>
    </xf>
    <xf numFmtId="0" fontId="16" fillId="0" borderId="18" xfId="0" applyFont="1" applyBorder="1" applyAlignment="1">
      <alignment horizontal="center" vertical="center" wrapText="1"/>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4" fillId="0" borderId="0" xfId="0" applyFont="1" applyAlignment="1">
      <alignment horizontal="right"/>
    </xf>
    <xf numFmtId="0" fontId="16" fillId="0" borderId="15" xfId="0" applyFont="1" applyBorder="1" applyAlignment="1">
      <alignment horizontal="center" vertical="center" wrapText="1"/>
    </xf>
    <xf numFmtId="0" fontId="16" fillId="0" borderId="14" xfId="0" applyFont="1" applyBorder="1" applyAlignment="1">
      <alignment horizontal="center" vertical="center" wrapText="1"/>
    </xf>
    <xf numFmtId="0" fontId="92" fillId="0" borderId="0" xfId="0" applyFont="1" applyAlignment="1">
      <alignment horizontal="center" wrapText="1"/>
    </xf>
    <xf numFmtId="0" fontId="0" fillId="0" borderId="0" xfId="0" applyAlignment="1">
      <alignment horizontal="center" wrapText="1"/>
    </xf>
    <xf numFmtId="0" fontId="15" fillId="0" borderId="15" xfId="0" applyFont="1" applyBorder="1" applyAlignment="1">
      <alignment horizontal="center" vertical="center"/>
    </xf>
    <xf numFmtId="0" fontId="15" fillId="0" borderId="21"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92" fillId="0" borderId="0" xfId="0" applyFont="1" applyAlignment="1">
      <alignment horizontal="center" vertical="top" wrapText="1"/>
    </xf>
    <xf numFmtId="0" fontId="15" fillId="0" borderId="21" xfId="0" applyFont="1" applyBorder="1" applyAlignment="1">
      <alignment horizontal="center" vertical="center" wrapText="1"/>
    </xf>
    <xf numFmtId="0" fontId="15" fillId="0" borderId="18" xfId="0" applyFont="1" applyBorder="1" applyAlignment="1">
      <alignment horizontal="center" vertical="center" wrapText="1"/>
    </xf>
    <xf numFmtId="0" fontId="11" fillId="0" borderId="0" xfId="0" applyFont="1" applyBorder="1" applyAlignment="1">
      <alignment horizontal="center" vertical="center"/>
    </xf>
    <xf numFmtId="0" fontId="15" fillId="0" borderId="0" xfId="0" applyFont="1" applyBorder="1" applyAlignment="1">
      <alignment horizontal="center" vertical="center"/>
    </xf>
    <xf numFmtId="0" fontId="15" fillId="0" borderId="10" xfId="0" applyFont="1" applyBorder="1" applyAlignment="1">
      <alignment horizontal="center" vertical="center"/>
    </xf>
    <xf numFmtId="0" fontId="15" fillId="0" borderId="24"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4" xfId="0" applyFont="1" applyBorder="1" applyAlignment="1">
      <alignment horizontal="center" vertical="center" wrapText="1" shrinkToFit="1"/>
    </xf>
    <xf numFmtId="0" fontId="15" fillId="0" borderId="23" xfId="0" applyFont="1" applyBorder="1" applyAlignment="1">
      <alignment horizontal="center" vertical="center" shrinkToFit="1"/>
    </xf>
    <xf numFmtId="0" fontId="15" fillId="0" borderId="21"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62" fillId="0" borderId="12" xfId="0" applyFont="1" applyBorder="1" applyAlignment="1">
      <alignment horizontal="center" vertical="center" wrapText="1"/>
    </xf>
    <xf numFmtId="0" fontId="55" fillId="0" borderId="12" xfId="0" applyFont="1" applyBorder="1" applyAlignment="1">
      <alignment horizontal="center" vertical="center" wrapText="1"/>
    </xf>
    <xf numFmtId="0" fontId="62" fillId="0" borderId="21" xfId="0" applyFont="1" applyBorder="1" applyAlignment="1">
      <alignment horizontal="center" vertical="center" wrapText="1"/>
    </xf>
    <xf numFmtId="0" fontId="3" fillId="0" borderId="17" xfId="0" applyFont="1" applyBorder="1" applyAlignment="1">
      <alignment horizontal="center" vertical="center" wrapText="1"/>
    </xf>
    <xf numFmtId="0" fontId="108" fillId="0" borderId="0" xfId="0" applyFont="1" applyAlignment="1">
      <alignment horizontal="center" vertical="center"/>
    </xf>
    <xf numFmtId="0" fontId="20" fillId="0" borderId="17" xfId="0" applyFont="1" applyBorder="1" applyAlignment="1">
      <alignment horizontal="left" vertical="center" wrapText="1"/>
    </xf>
    <xf numFmtId="0" fontId="115" fillId="0" borderId="22" xfId="0" applyFont="1" applyBorder="1" applyAlignment="1">
      <alignment horizontal="left" vertical="center" wrapText="1"/>
    </xf>
    <xf numFmtId="0" fontId="115" fillId="0" borderId="0" xfId="0" applyFont="1" applyAlignment="1">
      <alignment horizontal="left" vertical="center" wrapText="1"/>
    </xf>
    <xf numFmtId="0" fontId="157" fillId="0" borderId="0" xfId="0" applyFont="1" applyAlignment="1">
      <alignment horizontal="left" vertical="center" wrapText="1"/>
    </xf>
    <xf numFmtId="0" fontId="62" fillId="0" borderId="21" xfId="0" applyFont="1" applyBorder="1" applyAlignment="1">
      <alignment horizontal="center" vertical="top" wrapText="1"/>
    </xf>
    <xf numFmtId="0" fontId="62" fillId="0" borderId="17" xfId="0" applyFont="1" applyBorder="1" applyAlignment="1">
      <alignment horizontal="center" vertical="top" wrapText="1"/>
    </xf>
    <xf numFmtId="0" fontId="92"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2" xfId="0" applyFont="1" applyBorder="1" applyAlignment="1">
      <alignment horizontal="center" vertical="center"/>
    </xf>
    <xf numFmtId="0" fontId="116" fillId="0" borderId="22" xfId="0" applyFont="1" applyBorder="1" applyAlignment="1">
      <alignment horizontal="left" vertical="top" wrapText="1"/>
    </xf>
    <xf numFmtId="0" fontId="116" fillId="0" borderId="0" xfId="0" applyFont="1" applyBorder="1" applyAlignment="1">
      <alignment horizontal="left" vertical="top" wrapText="1"/>
    </xf>
    <xf numFmtId="0" fontId="11" fillId="0" borderId="0" xfId="0" applyFont="1" applyAlignment="1">
      <alignment horizontal="center" vertical="center"/>
    </xf>
    <xf numFmtId="0" fontId="92" fillId="0" borderId="0" xfId="0" applyFont="1" applyAlignment="1">
      <alignment horizontal="center" vertical="center" wrapText="1"/>
    </xf>
    <xf numFmtId="0" fontId="153" fillId="0" borderId="22" xfId="0" applyFont="1" applyBorder="1" applyAlignment="1">
      <alignment horizontal="left" vertical="center" wrapText="1"/>
    </xf>
    <xf numFmtId="0" fontId="153" fillId="0" borderId="0" xfId="0" applyFont="1" applyBorder="1" applyAlignment="1">
      <alignment horizontal="left" vertical="center" wrapText="1"/>
    </xf>
    <xf numFmtId="0" fontId="115" fillId="0" borderId="22" xfId="0" applyFont="1" applyBorder="1" applyAlignment="1">
      <alignment vertical="top" wrapText="1"/>
    </xf>
    <xf numFmtId="0" fontId="7" fillId="0" borderId="0" xfId="0" applyFont="1" applyAlignment="1">
      <alignment vertical="top" wrapText="1"/>
    </xf>
    <xf numFmtId="0" fontId="92" fillId="0" borderId="0" xfId="0" applyFont="1" applyBorder="1" applyAlignment="1">
      <alignment horizontal="center"/>
    </xf>
    <xf numFmtId="0" fontId="20" fillId="0" borderId="15" xfId="0" applyFont="1" applyBorder="1" applyAlignment="1">
      <alignment horizontal="center" vertical="center"/>
    </xf>
    <xf numFmtId="0" fontId="20" fillId="0" borderId="2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15" fillId="0" borderId="21" xfId="0" applyFont="1" applyBorder="1" applyAlignment="1">
      <alignment horizontal="center" vertical="top" wrapText="1"/>
    </xf>
    <xf numFmtId="0" fontId="15" fillId="0" borderId="18" xfId="0" applyFont="1" applyBorder="1" applyAlignment="1">
      <alignment horizontal="center" vertical="top" wrapText="1"/>
    </xf>
    <xf numFmtId="0" fontId="29" fillId="0" borderId="15" xfId="0" applyFont="1" applyBorder="1" applyAlignment="1">
      <alignment horizontal="center" vertical="center"/>
    </xf>
    <xf numFmtId="0" fontId="29" fillId="0" borderId="14" xfId="0" applyFont="1" applyBorder="1" applyAlignment="1">
      <alignment horizontal="center" vertical="center"/>
    </xf>
    <xf numFmtId="0" fontId="29" fillId="0" borderId="13" xfId="0" applyFont="1" applyBorder="1" applyAlignment="1">
      <alignment horizontal="center" vertical="center"/>
    </xf>
    <xf numFmtId="0" fontId="92" fillId="0" borderId="0" xfId="0" applyFont="1" applyBorder="1" applyAlignment="1">
      <alignment horizontal="center" vertical="center"/>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14" fillId="0" borderId="0" xfId="0" applyFont="1" applyAlignment="1">
      <alignment horizontal="right" vertical="center"/>
    </xf>
    <xf numFmtId="0" fontId="15" fillId="0" borderId="13" xfId="0" applyFont="1" applyBorder="1" applyAlignment="1">
      <alignment horizontal="center" vertical="center" wrapText="1"/>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15" fillId="0" borderId="15" xfId="0" applyFont="1" applyBorder="1" applyAlignment="1">
      <alignment horizontal="center" vertical="top"/>
    </xf>
    <xf numFmtId="0" fontId="15" fillId="0" borderId="14" xfId="0" applyFont="1" applyBorder="1" applyAlignment="1">
      <alignment horizontal="center" vertical="top"/>
    </xf>
    <xf numFmtId="0" fontId="15" fillId="0" borderId="13" xfId="0" applyFont="1" applyBorder="1" applyAlignment="1">
      <alignment horizontal="center" vertical="top"/>
    </xf>
    <xf numFmtId="0" fontId="0" fillId="0" borderId="12" xfId="0" applyBorder="1" applyAlignment="1">
      <alignment horizontal="center" vertical="center"/>
    </xf>
    <xf numFmtId="0" fontId="0" fillId="0" borderId="0" xfId="0" applyBorder="1" applyAlignment="1">
      <alignment horizontal="center" vertical="center"/>
    </xf>
    <xf numFmtId="0" fontId="15" fillId="0" borderId="12" xfId="0" applyFont="1" applyBorder="1" applyAlignment="1">
      <alignment horizontal="right" vertical="center"/>
    </xf>
    <xf numFmtId="0" fontId="15" fillId="0" borderId="0" xfId="0" applyFont="1" applyBorder="1" applyAlignment="1">
      <alignment horizontal="right" vertical="center"/>
    </xf>
    <xf numFmtId="0" fontId="11" fillId="0" borderId="0" xfId="0" applyFont="1" applyBorder="1" applyAlignment="1">
      <alignment horizontal="center" wrapText="1"/>
    </xf>
    <xf numFmtId="0" fontId="92" fillId="0" borderId="0" xfId="0" applyFont="1" applyBorder="1" applyAlignment="1">
      <alignment horizontal="center" wrapText="1"/>
    </xf>
    <xf numFmtId="0" fontId="17" fillId="0" borderId="14" xfId="0" quotePrefix="1"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0" xfId="0" applyFont="1" applyBorder="1" applyAlignment="1">
      <alignment horizontal="center" vertical="center" wrapText="1"/>
    </xf>
    <xf numFmtId="0" fontId="14" fillId="0" borderId="0" xfId="0" applyFont="1" applyBorder="1" applyAlignment="1">
      <alignment horizontal="right"/>
    </xf>
    <xf numFmtId="0" fontId="0" fillId="0" borderId="19" xfId="0" applyBorder="1" applyAlignment="1">
      <alignment horizontal="center" vertical="center"/>
    </xf>
    <xf numFmtId="0" fontId="0" fillId="0" borderId="10" xfId="0" applyBorder="1" applyAlignment="1">
      <alignment horizontal="center" vertical="center"/>
    </xf>
    <xf numFmtId="0" fontId="48" fillId="0" borderId="12" xfId="0" applyFont="1" applyBorder="1" applyAlignment="1">
      <alignment horizontal="right" vertical="center"/>
    </xf>
    <xf numFmtId="0" fontId="48" fillId="0" borderId="0" xfId="0" applyFont="1" applyBorder="1" applyAlignment="1">
      <alignment horizontal="right"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14" fillId="0" borderId="22" xfId="0" applyFont="1" applyBorder="1" applyAlignment="1">
      <alignment horizontal="right"/>
    </xf>
    <xf numFmtId="0" fontId="29" fillId="0" borderId="15" xfId="0" applyFont="1" applyBorder="1" applyAlignment="1">
      <alignment horizontal="center" vertical="center" wrapText="1"/>
    </xf>
    <xf numFmtId="0" fontId="29"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111" fillId="0" borderId="10" xfId="0" applyFont="1" applyBorder="1" applyAlignment="1">
      <alignment horizontal="right" vertical="center" wrapText="1"/>
    </xf>
    <xf numFmtId="3" fontId="17" fillId="0" borderId="13" xfId="0" applyNumberFormat="1" applyFont="1" applyBorder="1" applyAlignment="1">
      <alignment horizontal="center" vertical="center"/>
    </xf>
    <xf numFmtId="3" fontId="17" fillId="0" borderId="15" xfId="0" applyNumberFormat="1" applyFont="1" applyBorder="1" applyAlignment="1">
      <alignment horizontal="center" vertical="center"/>
    </xf>
    <xf numFmtId="3" fontId="17" fillId="0" borderId="14" xfId="0" applyNumberFormat="1" applyFont="1" applyBorder="1" applyAlignment="1">
      <alignment horizontal="center" vertical="center"/>
    </xf>
    <xf numFmtId="0" fontId="54" fillId="0" borderId="24" xfId="0" applyFont="1" applyBorder="1" applyAlignment="1">
      <alignment horizontal="center" vertical="center" wrapText="1"/>
    </xf>
    <xf numFmtId="0" fontId="54" fillId="0" borderId="12" xfId="0" applyFont="1" applyBorder="1" applyAlignment="1">
      <alignment horizontal="center" vertical="center" wrapText="1"/>
    </xf>
    <xf numFmtId="0" fontId="19" fillId="0" borderId="0" xfId="0" applyFont="1" applyBorder="1" applyAlignment="1">
      <alignment horizontal="center" vertical="center"/>
    </xf>
    <xf numFmtId="0" fontId="106" fillId="0" borderId="0" xfId="0" applyFont="1" applyBorder="1" applyAlignment="1">
      <alignment horizontal="center" vertical="center"/>
    </xf>
    <xf numFmtId="0" fontId="27" fillId="0" borderId="21" xfId="0" applyFont="1" applyBorder="1" applyAlignment="1">
      <alignment horizontal="center" vertical="center" wrapText="1"/>
    </xf>
    <xf numFmtId="0" fontId="27" fillId="0" borderId="18" xfId="0" applyFont="1" applyBorder="1" applyAlignment="1">
      <alignment horizontal="center" vertical="center" wrapText="1"/>
    </xf>
    <xf numFmtId="0" fontId="32" fillId="0" borderId="15" xfId="0" applyFont="1" applyBorder="1" applyAlignment="1">
      <alignment horizontal="center" vertical="center"/>
    </xf>
    <xf numFmtId="0" fontId="32" fillId="0" borderId="15" xfId="0" applyFont="1" applyBorder="1" applyAlignment="1" applyProtection="1">
      <alignment horizontal="center" vertical="center" wrapText="1"/>
      <protection locked="0"/>
    </xf>
    <xf numFmtId="0" fontId="32" fillId="0" borderId="13" xfId="0"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17" fillId="0" borderId="23" xfId="0" applyFont="1" applyBorder="1" applyAlignment="1" applyProtection="1">
      <alignment horizontal="center" vertical="center" wrapText="1"/>
      <protection locked="0"/>
    </xf>
    <xf numFmtId="0" fontId="0" fillId="0" borderId="20" xfId="0" applyBorder="1" applyAlignment="1">
      <alignment horizontal="center" vertical="center" wrapText="1"/>
    </xf>
    <xf numFmtId="0" fontId="17" fillId="0" borderId="24"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1" fillId="0" borderId="0" xfId="0" applyFont="1" applyBorder="1" applyAlignment="1" applyProtection="1">
      <alignment horizontal="center"/>
      <protection locked="0"/>
    </xf>
    <xf numFmtId="0" fontId="11" fillId="0" borderId="13"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04" fillId="0" borderId="0" xfId="0" applyFont="1" applyBorder="1" applyAlignment="1" applyProtection="1">
      <alignment horizontal="center" wrapText="1"/>
      <protection locked="0"/>
    </xf>
    <xf numFmtId="0" fontId="17" fillId="0" borderId="0"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0" fillId="0" borderId="18" xfId="0" applyBorder="1" applyAlignment="1">
      <alignment vertical="center"/>
    </xf>
    <xf numFmtId="0" fontId="19" fillId="0" borderId="0" xfId="0" applyFont="1" applyBorder="1" applyAlignment="1" applyProtection="1">
      <alignment horizontal="center" vertical="center"/>
      <protection locked="0"/>
    </xf>
    <xf numFmtId="0" fontId="104" fillId="0" borderId="0" xfId="0" applyFont="1" applyBorder="1" applyAlignment="1" applyProtection="1">
      <alignment horizontal="center" vertical="center" wrapText="1"/>
      <protection locked="0"/>
    </xf>
    <xf numFmtId="0" fontId="32" fillId="0" borderId="15"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20" fillId="0" borderId="21"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protection locked="0"/>
    </xf>
    <xf numFmtId="0" fontId="0" fillId="0" borderId="13" xfId="0" applyBorder="1" applyAlignment="1">
      <alignment vertical="center"/>
    </xf>
    <xf numFmtId="0" fontId="0" fillId="0" borderId="14" xfId="0" applyBorder="1" applyAlignment="1">
      <alignment vertical="center"/>
    </xf>
    <xf numFmtId="0" fontId="34" fillId="0" borderId="15"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11" fillId="0" borderId="0" xfId="0" applyFont="1" applyBorder="1" applyAlignment="1" applyProtection="1">
      <alignment horizontal="center" vertical="center"/>
      <protection locked="0"/>
    </xf>
    <xf numFmtId="0" fontId="14" fillId="0" borderId="0" xfId="0" applyFont="1" applyAlignment="1" applyProtection="1">
      <alignment vertical="center" wrapText="1"/>
      <protection locked="0"/>
    </xf>
    <xf numFmtId="0" fontId="92" fillId="0" borderId="0" xfId="0" applyFont="1" applyBorder="1" applyAlignment="1" applyProtection="1">
      <alignment horizontal="center" vertical="center" wrapText="1"/>
      <protection locked="0"/>
    </xf>
    <xf numFmtId="0" fontId="62" fillId="0" borderId="15" xfId="0" applyFont="1" applyBorder="1" applyAlignment="1" applyProtection="1">
      <alignment horizontal="center" vertical="center"/>
      <protection locked="0"/>
    </xf>
    <xf numFmtId="0" fontId="62" fillId="0" borderId="13" xfId="0" applyFont="1" applyBorder="1" applyAlignment="1" applyProtection="1">
      <alignment horizontal="center" vertical="center"/>
      <protection locked="0"/>
    </xf>
    <xf numFmtId="0" fontId="62" fillId="0" borderId="14" xfId="0" applyFont="1" applyBorder="1" applyAlignment="1" applyProtection="1">
      <alignment horizontal="center" vertical="center"/>
      <protection locked="0"/>
    </xf>
    <xf numFmtId="0" fontId="114" fillId="0" borderId="22" xfId="0" applyFont="1" applyFill="1" applyBorder="1" applyAlignment="1" applyProtection="1">
      <alignment horizontal="left" vertical="center"/>
      <protection locked="0"/>
    </xf>
    <xf numFmtId="0" fontId="114" fillId="0" borderId="22" xfId="0" applyFont="1" applyFill="1" applyBorder="1" applyAlignment="1" applyProtection="1">
      <alignment horizontal="left"/>
      <protection locked="0"/>
    </xf>
    <xf numFmtId="0" fontId="30" fillId="0" borderId="15"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1" fillId="0" borderId="21" xfId="0" applyFont="1" applyBorder="1" applyAlignment="1">
      <alignment horizontal="center" vertical="center" wrapText="1"/>
    </xf>
    <xf numFmtId="0" fontId="31" fillId="0" borderId="18" xfId="0" applyFont="1" applyBorder="1" applyAlignment="1">
      <alignment horizontal="center" vertical="center" wrapText="1"/>
    </xf>
    <xf numFmtId="0" fontId="3" fillId="0" borderId="15"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4" fillId="0" borderId="0" xfId="0" applyFont="1" applyBorder="1" applyAlignment="1">
      <alignment horizontal="left" vertical="top" wrapText="1"/>
    </xf>
    <xf numFmtId="0" fontId="32" fillId="0" borderId="0" xfId="0" applyFont="1" applyBorder="1" applyAlignment="1">
      <alignment horizontal="left" vertical="top" wrapText="1"/>
    </xf>
    <xf numFmtId="0" fontId="32" fillId="0" borderId="11" xfId="0" applyFont="1" applyBorder="1" applyAlignment="1">
      <alignment horizontal="left" vertical="top" wrapText="1"/>
    </xf>
    <xf numFmtId="0" fontId="34" fillId="0" borderId="22" xfId="0" applyFont="1" applyBorder="1" applyAlignment="1">
      <alignment horizontal="left"/>
    </xf>
    <xf numFmtId="0" fontId="34" fillId="0" borderId="23" xfId="0" applyFont="1" applyBorder="1" applyAlignment="1">
      <alignment horizontal="left"/>
    </xf>
    <xf numFmtId="0" fontId="34" fillId="0" borderId="10" xfId="0" applyFont="1" applyBorder="1" applyAlignment="1">
      <alignment horizontal="left"/>
    </xf>
    <xf numFmtId="0" fontId="34" fillId="0" borderId="20" xfId="0" applyFont="1" applyBorder="1" applyAlignment="1">
      <alignment horizontal="left"/>
    </xf>
    <xf numFmtId="0" fontId="9" fillId="0" borderId="0" xfId="0" applyFont="1" applyBorder="1" applyAlignment="1">
      <alignment horizontal="justify" vertical="top" wrapText="1"/>
    </xf>
    <xf numFmtId="0" fontId="9" fillId="0" borderId="11" xfId="0" applyFont="1" applyBorder="1" applyAlignment="1">
      <alignment horizontal="justify"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15" fillId="0" borderId="22" xfId="0" applyFont="1" applyBorder="1" applyAlignment="1">
      <alignment horizontal="center" vertical="center"/>
    </xf>
    <xf numFmtId="0" fontId="12" fillId="0" borderId="15"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7" fillId="0" borderId="15" xfId="0" quotePrefix="1" applyFont="1" applyBorder="1" applyAlignment="1">
      <alignment horizontal="center"/>
    </xf>
    <xf numFmtId="0" fontId="17" fillId="0" borderId="13" xfId="0" quotePrefix="1" applyFont="1" applyBorder="1" applyAlignment="1">
      <alignment horizontal="center"/>
    </xf>
    <xf numFmtId="0" fontId="17" fillId="0" borderId="14" xfId="0" quotePrefix="1" applyFont="1" applyBorder="1" applyAlignment="1">
      <alignment horizontal="center"/>
    </xf>
    <xf numFmtId="0" fontId="58" fillId="0" borderId="13" xfId="0" applyFont="1" applyBorder="1" applyAlignment="1">
      <alignment horizontal="center"/>
    </xf>
    <xf numFmtId="0" fontId="58" fillId="0" borderId="14" xfId="0" applyFont="1" applyBorder="1" applyAlignment="1">
      <alignment horizontal="center"/>
    </xf>
    <xf numFmtId="0" fontId="11" fillId="0" borderId="0" xfId="0" applyFont="1" applyAlignment="1">
      <alignment horizontal="center"/>
    </xf>
    <xf numFmtId="0" fontId="0" fillId="0" borderId="22" xfId="0" applyBorder="1" applyAlignment="1">
      <alignment vertical="center"/>
    </xf>
    <xf numFmtId="0" fontId="0" fillId="0" borderId="23"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20" xfId="0" applyBorder="1" applyAlignment="1">
      <alignment vertical="center"/>
    </xf>
    <xf numFmtId="0" fontId="23" fillId="0" borderId="0" xfId="0" applyFont="1" applyBorder="1" applyAlignment="1">
      <alignment horizontal="left" vertical="top" wrapText="1"/>
    </xf>
    <xf numFmtId="0" fontId="23" fillId="0" borderId="11" xfId="0" applyFont="1" applyBorder="1" applyAlignment="1">
      <alignment horizontal="left" vertical="top" wrapText="1"/>
    </xf>
    <xf numFmtId="0" fontId="25" fillId="0" borderId="10" xfId="0" applyFont="1" applyBorder="1" applyAlignment="1">
      <alignment horizontal="left"/>
    </xf>
    <xf numFmtId="0" fontId="25" fillId="0" borderId="20" xfId="0" applyFont="1" applyBorder="1" applyAlignment="1">
      <alignment horizontal="left"/>
    </xf>
    <xf numFmtId="0" fontId="25" fillId="0" borderId="22" xfId="0" applyFont="1" applyBorder="1" applyAlignment="1">
      <alignment horizontal="left"/>
    </xf>
    <xf numFmtId="0" fontId="25" fillId="0" borderId="23" xfId="0" applyFont="1" applyBorder="1" applyAlignment="1">
      <alignment horizontal="left"/>
    </xf>
    <xf numFmtId="0" fontId="34" fillId="0" borderId="0" xfId="0" applyFont="1" applyBorder="1" applyAlignment="1">
      <alignment horizontal="left"/>
    </xf>
    <xf numFmtId="0" fontId="34" fillId="0" borderId="11" xfId="0" applyFont="1" applyBorder="1" applyAlignment="1">
      <alignment horizontal="left"/>
    </xf>
    <xf numFmtId="0" fontId="25" fillId="0" borderId="0" xfId="0" applyFont="1" applyBorder="1" applyAlignment="1">
      <alignment horizontal="left"/>
    </xf>
    <xf numFmtId="0" fontId="25" fillId="0" borderId="11" xfId="0" applyFont="1" applyBorder="1" applyAlignment="1">
      <alignment horizontal="left"/>
    </xf>
    <xf numFmtId="0" fontId="29" fillId="0" borderId="0" xfId="0" applyFont="1" applyBorder="1" applyAlignment="1">
      <alignment horizontal="left" vertical="center"/>
    </xf>
    <xf numFmtId="0" fontId="29" fillId="0" borderId="11" xfId="0" applyFont="1" applyBorder="1" applyAlignment="1">
      <alignment horizontal="left"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9" fillId="0" borderId="0" xfId="0" applyFont="1" applyBorder="1" applyAlignment="1">
      <alignment horizontal="left" vertical="center" wrapText="1"/>
    </xf>
    <xf numFmtId="0" fontId="29" fillId="0" borderId="11" xfId="0" applyFont="1" applyBorder="1" applyAlignment="1">
      <alignment horizontal="left"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1" fillId="0" borderId="0" xfId="0" applyFont="1" applyAlignment="1">
      <alignment horizontal="center" vertical="top"/>
    </xf>
    <xf numFmtId="0" fontId="29" fillId="0" borderId="22" xfId="0" applyFont="1" applyBorder="1" applyAlignment="1">
      <alignment vertical="center"/>
    </xf>
    <xf numFmtId="0" fontId="29" fillId="0" borderId="23" xfId="0" applyFont="1" applyBorder="1" applyAlignment="1">
      <alignment vertical="center"/>
    </xf>
    <xf numFmtId="0" fontId="29" fillId="0" borderId="12" xfId="0" applyFont="1" applyBorder="1" applyAlignment="1">
      <alignment horizontal="left" vertical="center"/>
    </xf>
    <xf numFmtId="0" fontId="34" fillId="0" borderId="0" xfId="0" applyFont="1" applyBorder="1" applyAlignment="1">
      <alignment horizontal="left" wrapText="1"/>
    </xf>
    <xf numFmtId="0" fontId="62" fillId="0" borderId="0" xfId="0" applyFont="1" applyBorder="1" applyAlignment="1">
      <alignment horizontal="left" wrapText="1"/>
    </xf>
    <xf numFmtId="0" fontId="62" fillId="0" borderId="11" xfId="0" applyFont="1" applyBorder="1" applyAlignment="1">
      <alignment horizontal="left"/>
    </xf>
    <xf numFmtId="0" fontId="62" fillId="0" borderId="0" xfId="0" applyFont="1" applyBorder="1" applyAlignment="1">
      <alignment horizontal="left" wrapText="1" shrinkToFit="1"/>
    </xf>
    <xf numFmtId="0" fontId="62" fillId="0" borderId="11" xfId="0" applyFont="1" applyBorder="1" applyAlignment="1">
      <alignment horizontal="left" shrinkToFit="1"/>
    </xf>
    <xf numFmtId="0" fontId="62" fillId="0" borderId="11" xfId="0" applyFont="1" applyBorder="1" applyAlignment="1">
      <alignment horizontal="left" wrapText="1"/>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12" fillId="0" borderId="15" xfId="0" applyFont="1" applyBorder="1" applyAlignment="1">
      <alignment horizontal="center" vertical="center"/>
    </xf>
    <xf numFmtId="0" fontId="19" fillId="0" borderId="14" xfId="0" applyFont="1" applyBorder="1" applyAlignment="1">
      <alignment horizontal="center" vertical="center"/>
    </xf>
    <xf numFmtId="0" fontId="25" fillId="0" borderId="0" xfId="0" applyFont="1" applyBorder="1" applyAlignment="1">
      <alignment horizontal="left" vertical="center"/>
    </xf>
    <xf numFmtId="0" fontId="25" fillId="0" borderId="11" xfId="0" applyFont="1" applyBorder="1" applyAlignment="1">
      <alignment horizontal="left" vertical="center"/>
    </xf>
    <xf numFmtId="0" fontId="57" fillId="0" borderId="0" xfId="0" applyFont="1" applyBorder="1" applyAlignment="1">
      <alignment horizontal="left" vertical="top" wrapText="1"/>
    </xf>
    <xf numFmtId="0" fontId="57" fillId="0" borderId="11" xfId="0" applyFont="1" applyBorder="1" applyAlignment="1">
      <alignment horizontal="left" vertical="top" wrapText="1"/>
    </xf>
    <xf numFmtId="0" fontId="15" fillId="0" borderId="11" xfId="0" applyFont="1" applyBorder="1" applyAlignment="1">
      <alignment horizontal="center" vertical="center"/>
    </xf>
    <xf numFmtId="0" fontId="11" fillId="0" borderId="0" xfId="0" applyFont="1" applyBorder="1" applyAlignment="1">
      <alignment horizontal="center" vertical="top"/>
    </xf>
    <xf numFmtId="0" fontId="92" fillId="0" borderId="0" xfId="0" applyFont="1" applyBorder="1" applyAlignment="1">
      <alignment horizontal="center" vertical="top" wrapText="1"/>
    </xf>
    <xf numFmtId="0" fontId="34" fillId="0" borderId="11" xfId="0" applyFont="1" applyBorder="1" applyAlignment="1">
      <alignment horizontal="left" wrapText="1"/>
    </xf>
    <xf numFmtId="0" fontId="62" fillId="0" borderId="0" xfId="0" applyFont="1" applyBorder="1" applyAlignment="1">
      <alignment horizontal="justify" wrapText="1"/>
    </xf>
    <xf numFmtId="0" fontId="62" fillId="0" borderId="11" xfId="0" applyFont="1" applyBorder="1" applyAlignment="1">
      <alignment horizontal="justify" wrapText="1"/>
    </xf>
    <xf numFmtId="0" fontId="14" fillId="0" borderId="22" xfId="0" applyFont="1" applyBorder="1" applyAlignment="1" applyProtection="1">
      <alignment horizontal="right" vertical="top"/>
      <protection locked="0"/>
    </xf>
    <xf numFmtId="0" fontId="52" fillId="0" borderId="0" xfId="0" applyFont="1" applyBorder="1" applyAlignment="1">
      <alignment horizontal="left" vertical="center"/>
    </xf>
    <xf numFmtId="0" fontId="52" fillId="0" borderId="11" xfId="0" applyFont="1" applyBorder="1" applyAlignment="1">
      <alignment horizontal="left" vertical="center"/>
    </xf>
    <xf numFmtId="0" fontId="52" fillId="0" borderId="10" xfId="0" applyFont="1" applyBorder="1" applyAlignment="1">
      <alignment horizontal="left" vertical="center"/>
    </xf>
    <xf numFmtId="0" fontId="52" fillId="0" borderId="20" xfId="0" applyFont="1" applyBorder="1" applyAlignment="1">
      <alignment horizontal="left" vertical="center"/>
    </xf>
    <xf numFmtId="0" fontId="58" fillId="0" borderId="13" xfId="0" applyFont="1" applyBorder="1" applyAlignment="1">
      <alignment horizontal="center" vertical="center"/>
    </xf>
    <xf numFmtId="0" fontId="58" fillId="0" borderId="14" xfId="0" applyFont="1" applyBorder="1" applyAlignment="1">
      <alignment horizontal="center" vertical="center"/>
    </xf>
    <xf numFmtId="0" fontId="57" fillId="0" borderId="0" xfId="0" applyFont="1" applyBorder="1" applyAlignment="1">
      <alignment horizontal="left" vertical="center" wrapText="1"/>
    </xf>
    <xf numFmtId="0" fontId="57" fillId="0" borderId="11" xfId="0" applyFont="1" applyBorder="1" applyAlignment="1">
      <alignment horizontal="left"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center" vertical="center"/>
    </xf>
    <xf numFmtId="0" fontId="57" fillId="0" borderId="13" xfId="0" applyFont="1" applyBorder="1" applyAlignment="1">
      <alignment horizontal="center" vertical="center"/>
    </xf>
    <xf numFmtId="0" fontId="57" fillId="0" borderId="14" xfId="0" applyFont="1" applyBorder="1" applyAlignment="1">
      <alignment horizontal="center" vertical="center"/>
    </xf>
    <xf numFmtId="0" fontId="17" fillId="0" borderId="24" xfId="0" quotePrefix="1" applyFont="1" applyBorder="1" applyAlignment="1">
      <alignment horizontal="center" vertical="center"/>
    </xf>
    <xf numFmtId="0" fontId="12" fillId="0" borderId="15" xfId="0" applyFont="1" applyBorder="1" applyAlignment="1">
      <alignment horizontal="center" vertical="top" wrapText="1"/>
    </xf>
    <xf numFmtId="0" fontId="12" fillId="0" borderId="13" xfId="0" applyFont="1" applyBorder="1" applyAlignment="1">
      <alignment horizontal="center" vertical="top" wrapText="1"/>
    </xf>
    <xf numFmtId="0" fontId="12" fillId="0" borderId="14" xfId="0" applyFont="1" applyBorder="1" applyAlignment="1">
      <alignment horizontal="center" vertical="top" wrapText="1"/>
    </xf>
    <xf numFmtId="0" fontId="3" fillId="0" borderId="0" xfId="0" applyFont="1" applyAlignment="1">
      <alignment horizontal="center" vertical="center" textRotation="180"/>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92" fillId="0" borderId="0" xfId="0" applyFont="1" applyBorder="1" applyAlignment="1">
      <alignment horizontal="center" vertical="top"/>
    </xf>
    <xf numFmtId="0" fontId="14" fillId="0" borderId="0" xfId="0" applyFont="1" applyAlignment="1" applyProtection="1">
      <alignment horizontal="left"/>
      <protection locked="0"/>
    </xf>
    <xf numFmtId="0" fontId="68"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4" fillId="0" borderId="0" xfId="0" applyFont="1" applyAlignment="1"/>
    <xf numFmtId="0" fontId="14" fillId="0" borderId="22" xfId="0" applyFont="1" applyBorder="1" applyAlignment="1" applyProtection="1">
      <alignment horizontal="right"/>
      <protection locked="0"/>
    </xf>
    <xf numFmtId="0" fontId="95" fillId="0" borderId="0" xfId="0" applyFont="1" applyAlignment="1">
      <alignment horizontal="center" vertical="center" wrapText="1"/>
    </xf>
    <xf numFmtId="0" fontId="28" fillId="0" borderId="15" xfId="0" applyFont="1" applyBorder="1" applyAlignment="1">
      <alignment horizontal="center" vertical="center"/>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2" fillId="0" borderId="10" xfId="0" applyFont="1" applyBorder="1" applyAlignment="1">
      <alignment horizontal="right" vertical="top"/>
    </xf>
    <xf numFmtId="0" fontId="33" fillId="0" borderId="15" xfId="0" applyFont="1" applyBorder="1" applyAlignment="1">
      <alignment horizontal="center"/>
    </xf>
    <xf numFmtId="0" fontId="33" fillId="0" borderId="13" xfId="0" applyFont="1" applyBorder="1" applyAlignment="1">
      <alignment horizontal="center"/>
    </xf>
    <xf numFmtId="0" fontId="33" fillId="0" borderId="14" xfId="0" applyFont="1" applyBorder="1" applyAlignment="1">
      <alignment horizontal="center"/>
    </xf>
    <xf numFmtId="0" fontId="15" fillId="0" borderId="17" xfId="0" applyFont="1" applyBorder="1" applyAlignment="1">
      <alignment horizontal="center" vertical="top" wrapText="1"/>
    </xf>
    <xf numFmtId="0" fontId="17" fillId="0" borderId="24" xfId="0" applyFont="1" applyBorder="1" applyAlignment="1">
      <alignment horizontal="center" vertical="center"/>
    </xf>
    <xf numFmtId="0" fontId="17" fillId="0" borderId="23" xfId="0" applyFont="1" applyBorder="1" applyAlignment="1">
      <alignment horizontal="center" vertical="center"/>
    </xf>
    <xf numFmtId="0" fontId="17" fillId="0" borderId="19" xfId="0" quotePrefix="1" applyFont="1" applyBorder="1" applyAlignment="1">
      <alignment horizontal="center" vertical="center"/>
    </xf>
    <xf numFmtId="0" fontId="17" fillId="0" borderId="20" xfId="0" quotePrefix="1" applyFont="1" applyBorder="1" applyAlignment="1">
      <alignment horizontal="center" vertical="center"/>
    </xf>
    <xf numFmtId="0" fontId="17" fillId="0" borderId="23" xfId="0" quotePrefix="1" applyFont="1" applyBorder="1" applyAlignment="1">
      <alignment horizontal="center" vertical="center"/>
    </xf>
    <xf numFmtId="0" fontId="17" fillId="0" borderId="12" xfId="0" quotePrefix="1" applyFont="1" applyBorder="1" applyAlignment="1">
      <alignment horizontal="center" vertical="center"/>
    </xf>
    <xf numFmtId="0" fontId="17" fillId="0" borderId="11" xfId="0" quotePrefix="1" applyFont="1" applyBorder="1" applyAlignment="1">
      <alignment horizontal="center" vertical="center"/>
    </xf>
    <xf numFmtId="0" fontId="14" fillId="0" borderId="22" xfId="0" quotePrefix="1" applyFont="1" applyBorder="1" applyAlignment="1">
      <alignment horizontal="left"/>
    </xf>
    <xf numFmtId="0" fontId="14" fillId="0" borderId="22" xfId="0" applyFont="1" applyBorder="1" applyAlignment="1">
      <alignment horizontal="left"/>
    </xf>
    <xf numFmtId="0" fontId="17" fillId="0" borderId="13" xfId="0" applyFont="1" applyBorder="1" applyAlignment="1">
      <alignment horizontal="center" vertical="center"/>
    </xf>
    <xf numFmtId="0" fontId="71" fillId="0" borderId="19" xfId="0" applyFont="1" applyBorder="1" applyAlignment="1">
      <alignment horizontal="left" vertical="center" wrapText="1"/>
    </xf>
    <xf numFmtId="0" fontId="71" fillId="0" borderId="20" xfId="0" applyFont="1" applyBorder="1" applyAlignment="1">
      <alignment horizontal="left" vertical="center" wrapText="1"/>
    </xf>
    <xf numFmtId="0" fontId="92" fillId="0" borderId="10" xfId="0" applyFont="1" applyBorder="1" applyAlignment="1">
      <alignment horizontal="center" vertical="center" wrapText="1"/>
    </xf>
    <xf numFmtId="0" fontId="15" fillId="0" borderId="23" xfId="0" applyFont="1" applyBorder="1" applyAlignment="1">
      <alignment horizontal="center" vertical="top" wrapText="1"/>
    </xf>
    <xf numFmtId="0" fontId="15" fillId="0" borderId="20" xfId="0" applyFont="1" applyBorder="1" applyAlignment="1">
      <alignment horizontal="center" vertical="top" wrapText="1"/>
    </xf>
    <xf numFmtId="0" fontId="17" fillId="0" borderId="14" xfId="0" applyFont="1" applyBorder="1" applyAlignment="1">
      <alignment horizontal="center" vertical="center"/>
    </xf>
    <xf numFmtId="0" fontId="38" fillId="0" borderId="19" xfId="0" applyFont="1" applyBorder="1" applyAlignment="1">
      <alignment horizontal="left" vertical="center" wrapText="1"/>
    </xf>
    <xf numFmtId="0" fontId="39" fillId="0" borderId="20" xfId="0" applyFont="1" applyBorder="1" applyAlignment="1">
      <alignment horizontal="left" vertical="center" wrapText="1"/>
    </xf>
    <xf numFmtId="0" fontId="12" fillId="0" borderId="10" xfId="0" applyFont="1" applyBorder="1" applyAlignment="1">
      <alignment horizontal="right" vertical="center"/>
    </xf>
    <xf numFmtId="0" fontId="16" fillId="0" borderId="15" xfId="0" applyFont="1" applyBorder="1" applyAlignment="1">
      <alignment horizontal="center" vertical="center"/>
    </xf>
    <xf numFmtId="0" fontId="16" fillId="0" borderId="14" xfId="0" applyFont="1" applyBorder="1" applyAlignment="1">
      <alignment horizontal="center" vertical="center"/>
    </xf>
    <xf numFmtId="0" fontId="39" fillId="0" borderId="10" xfId="0" applyFont="1" applyBorder="1" applyAlignment="1">
      <alignment horizontal="left" vertical="center" wrapText="1"/>
    </xf>
    <xf numFmtId="0" fontId="19" fillId="0" borderId="12" xfId="0" applyFont="1" applyBorder="1" applyAlignment="1">
      <alignment vertical="center" wrapText="1"/>
    </xf>
    <xf numFmtId="0" fontId="19" fillId="0" borderId="0" xfId="0" applyFont="1" applyBorder="1" applyAlignment="1">
      <alignment vertical="center" wrapText="1"/>
    </xf>
    <xf numFmtId="2" fontId="0" fillId="0" borderId="10" xfId="0" applyNumberFormat="1" applyBorder="1" applyAlignment="1">
      <alignment horizontal="center" vertical="center"/>
    </xf>
    <xf numFmtId="2" fontId="0" fillId="0" borderId="20" xfId="0" applyNumberFormat="1" applyBorder="1" applyAlignment="1">
      <alignment horizontal="center" vertical="center"/>
    </xf>
    <xf numFmtId="0" fontId="58" fillId="0" borderId="10" xfId="0" applyFont="1" applyBorder="1" applyAlignment="1">
      <alignment horizontal="center" vertical="center"/>
    </xf>
    <xf numFmtId="2" fontId="0" fillId="0" borderId="12" xfId="0" applyNumberFormat="1" applyBorder="1" applyAlignment="1">
      <alignment horizontal="center" vertical="center"/>
    </xf>
    <xf numFmtId="2" fontId="0" fillId="0" borderId="11" xfId="0" applyNumberFormat="1" applyBorder="1" applyAlignment="1">
      <alignment horizontal="center" vertical="center"/>
    </xf>
    <xf numFmtId="2" fontId="0" fillId="0" borderId="19" xfId="0" applyNumberFormat="1" applyBorder="1" applyAlignment="1">
      <alignment horizontal="center" vertical="center"/>
    </xf>
    <xf numFmtId="2" fontId="0" fillId="0" borderId="24" xfId="0" applyNumberFormat="1" applyBorder="1" applyAlignment="1">
      <alignment horizontal="center" vertical="center"/>
    </xf>
    <xf numFmtId="2" fontId="0" fillId="0" borderId="23" xfId="0" applyNumberFormat="1" applyBorder="1" applyAlignment="1">
      <alignment horizontal="center" vertical="center"/>
    </xf>
    <xf numFmtId="0" fontId="33" fillId="0" borderId="24"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14" fillId="0" borderId="0" xfId="0" applyFont="1" applyAlignment="1">
      <alignment horizontal="left" vertical="top" wrapText="1"/>
    </xf>
    <xf numFmtId="0" fontId="14" fillId="0" borderId="0" xfId="0" applyFont="1" applyAlignment="1">
      <alignment wrapText="1"/>
    </xf>
    <xf numFmtId="0" fontId="20" fillId="0" borderId="23" xfId="0" applyFont="1" applyBorder="1" applyAlignment="1">
      <alignment horizontal="center" vertical="center"/>
    </xf>
    <xf numFmtId="0" fontId="12" fillId="0" borderId="0" xfId="0" applyFont="1" applyBorder="1" applyAlignment="1">
      <alignment horizontal="right" vertical="top"/>
    </xf>
    <xf numFmtId="0" fontId="27" fillId="0" borderId="15" xfId="0" quotePrefix="1" applyFont="1" applyBorder="1" applyAlignment="1">
      <alignment horizontal="center" vertical="center"/>
    </xf>
    <xf numFmtId="0" fontId="27" fillId="0" borderId="14" xfId="0" quotePrefix="1"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1" xfId="0" applyBorder="1" applyAlignment="1">
      <alignment horizontal="center" vertical="center"/>
    </xf>
    <xf numFmtId="0" fontId="0" fillId="0" borderId="24" xfId="0" applyBorder="1" applyAlignment="1">
      <alignment horizontal="center" vertical="center"/>
    </xf>
    <xf numFmtId="0" fontId="32" fillId="0" borderId="11" xfId="0" applyFont="1"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0" fontId="27" fillId="0" borderId="13" xfId="0" quotePrefix="1" applyFont="1" applyBorder="1" applyAlignment="1">
      <alignment horizontal="center" vertical="center"/>
    </xf>
    <xf numFmtId="0" fontId="48" fillId="0" borderId="21" xfId="0" applyFont="1" applyBorder="1" applyAlignment="1">
      <alignment horizontal="center" vertical="center"/>
    </xf>
    <xf numFmtId="0" fontId="48" fillId="0" borderId="18" xfId="0" applyFont="1" applyBorder="1" applyAlignment="1">
      <alignment horizontal="center" vertical="center"/>
    </xf>
    <xf numFmtId="0" fontId="92" fillId="0" borderId="10" xfId="0" applyFont="1" applyBorder="1" applyAlignment="1">
      <alignment horizontal="center" vertical="top" wrapText="1"/>
    </xf>
    <xf numFmtId="164" fontId="0" fillId="0" borderId="19"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3" xfId="0" applyNumberFormat="1" applyBorder="1" applyAlignment="1">
      <alignment horizontal="center" vertical="center"/>
    </xf>
    <xf numFmtId="0" fontId="32" fillId="0" borderId="24" xfId="0" applyFont="1" applyBorder="1" applyAlignment="1">
      <alignment horizontal="center" vertical="center"/>
    </xf>
    <xf numFmtId="0" fontId="32" fillId="0" borderId="23" xfId="0" applyFont="1" applyBorder="1" applyAlignment="1">
      <alignment horizontal="center" vertical="center"/>
    </xf>
    <xf numFmtId="0" fontId="33" fillId="0" borderId="15" xfId="0" quotePrefix="1" applyFont="1" applyBorder="1" applyAlignment="1">
      <alignment horizontal="center" vertical="center"/>
    </xf>
    <xf numFmtId="0" fontId="33" fillId="0" borderId="14" xfId="0" quotePrefix="1" applyFont="1" applyBorder="1" applyAlignment="1">
      <alignment horizontal="center" vertical="center"/>
    </xf>
    <xf numFmtId="0" fontId="92" fillId="0" borderId="0" xfId="0" applyFont="1" applyAlignment="1">
      <alignment horizontal="center" vertical="top"/>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4" fillId="0" borderId="22" xfId="0" applyFont="1" applyBorder="1" applyAlignment="1">
      <alignment horizontal="left" vertical="top" wrapText="1"/>
    </xf>
    <xf numFmtId="0" fontId="14" fillId="0" borderId="22" xfId="0" applyFont="1" applyBorder="1" applyAlignment="1">
      <alignment vertical="top" wrapText="1"/>
    </xf>
    <xf numFmtId="0" fontId="14" fillId="0" borderId="0" xfId="0" applyFont="1" applyAlignment="1">
      <alignment vertical="top" wrapText="1"/>
    </xf>
    <xf numFmtId="0" fontId="52" fillId="0" borderId="15" xfId="0" applyFont="1" applyBorder="1" applyAlignment="1">
      <alignment horizontal="center" vertical="center"/>
    </xf>
    <xf numFmtId="0" fontId="17" fillId="0" borderId="15" xfId="0" quotePrefix="1" applyFont="1" applyBorder="1" applyAlignment="1">
      <alignment horizontal="center" vertical="center" wrapText="1"/>
    </xf>
    <xf numFmtId="0" fontId="17" fillId="0" borderId="14" xfId="0" applyFont="1" applyBorder="1" applyAlignment="1">
      <alignment horizontal="center" vertical="center" wrapTex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21" fillId="0" borderId="2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7" xfId="0" applyFont="1" applyBorder="1" applyAlignment="1">
      <alignment horizontal="center" vertical="center" wrapText="1"/>
    </xf>
    <xf numFmtId="0" fontId="117" fillId="0" borderId="22" xfId="0" applyFont="1" applyBorder="1" applyAlignment="1">
      <alignment horizontal="left" vertical="center" wrapText="1"/>
    </xf>
    <xf numFmtId="0" fontId="117" fillId="0" borderId="0" xfId="0" applyFont="1" applyBorder="1" applyAlignment="1">
      <alignment horizontal="left" vertical="center" wrapText="1"/>
    </xf>
    <xf numFmtId="0" fontId="12" fillId="0" borderId="24" xfId="0" applyFont="1" applyBorder="1" applyAlignment="1">
      <alignment horizontal="center" vertical="center"/>
    </xf>
    <xf numFmtId="0" fontId="12" fillId="0" borderId="23" xfId="0" applyFont="1" applyBorder="1" applyAlignment="1">
      <alignment horizontal="center" vertical="center"/>
    </xf>
    <xf numFmtId="0" fontId="117" fillId="0" borderId="22" xfId="0" applyFont="1" applyBorder="1" applyAlignment="1">
      <alignment vertical="center" wrapText="1"/>
    </xf>
    <xf numFmtId="0" fontId="117" fillId="0" borderId="0" xfId="0" applyFont="1" applyAlignment="1">
      <alignment vertical="center" wrapText="1"/>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7" fillId="0" borderId="2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1" xfId="0" applyFont="1" applyBorder="1" applyAlignment="1">
      <alignment horizontal="center" vertical="center" shrinkToFit="1"/>
    </xf>
    <xf numFmtId="0" fontId="104" fillId="0" borderId="0" xfId="0" applyFont="1" applyAlignment="1">
      <alignment horizontal="center" vertical="center" wrapText="1"/>
    </xf>
    <xf numFmtId="0" fontId="16" fillId="0" borderId="2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54" fillId="0" borderId="15" xfId="0" quotePrefix="1" applyFont="1" applyBorder="1" applyAlignment="1">
      <alignment horizontal="center" vertical="center"/>
    </xf>
    <xf numFmtId="0" fontId="54" fillId="0" borderId="14" xfId="0" quotePrefix="1" applyFont="1" applyBorder="1" applyAlignment="1">
      <alignment horizontal="center" vertical="center"/>
    </xf>
    <xf numFmtId="0" fontId="16" fillId="0" borderId="16" xfId="0" applyFont="1" applyBorder="1" applyAlignment="1">
      <alignment horizontal="center" vertical="center"/>
    </xf>
    <xf numFmtId="0" fontId="16" fillId="0" borderId="16" xfId="0" applyFont="1" applyBorder="1" applyAlignment="1">
      <alignment horizontal="center" vertical="center" wrapText="1"/>
    </xf>
    <xf numFmtId="0" fontId="17" fillId="0" borderId="19" xfId="0" applyFont="1" applyBorder="1" applyAlignment="1">
      <alignment horizontal="center" vertical="center" shrinkToFit="1"/>
    </xf>
    <xf numFmtId="0" fontId="17" fillId="0" borderId="20" xfId="0" applyFont="1" applyBorder="1" applyAlignment="1">
      <alignment horizontal="center" vertical="center" shrinkToFit="1"/>
    </xf>
    <xf numFmtId="0" fontId="16" fillId="0" borderId="13" xfId="0" applyFont="1" applyBorder="1" applyAlignment="1">
      <alignment horizontal="center" vertical="center"/>
    </xf>
    <xf numFmtId="0" fontId="14" fillId="0" borderId="0" xfId="0" applyFont="1" applyBorder="1" applyAlignment="1">
      <alignment horizontal="left" vertical="top"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1" fillId="0" borderId="10" xfId="0" applyFont="1" applyBorder="1" applyAlignment="1">
      <alignment horizontal="center" vertical="center"/>
    </xf>
    <xf numFmtId="0" fontId="29" fillId="0" borderId="24" xfId="0" applyFont="1" applyBorder="1" applyAlignment="1">
      <alignment horizontal="center" vertical="center"/>
    </xf>
    <xf numFmtId="0" fontId="29" fillId="0" borderId="12" xfId="0" applyFont="1" applyBorder="1" applyAlignment="1">
      <alignment horizontal="center" vertical="center"/>
    </xf>
    <xf numFmtId="0" fontId="20" fillId="0" borderId="24" xfId="0" applyFont="1" applyBorder="1" applyAlignment="1">
      <alignment horizontal="center" vertical="center"/>
    </xf>
    <xf numFmtId="0" fontId="62" fillId="0" borderId="0" xfId="0" applyFont="1" applyBorder="1" applyAlignment="1">
      <alignment horizontal="center" vertical="center"/>
    </xf>
    <xf numFmtId="0" fontId="106" fillId="0" borderId="0" xfId="0" applyFont="1" applyAlignment="1">
      <alignment horizontal="center" vertical="top" wrapText="1"/>
    </xf>
    <xf numFmtId="0" fontId="53" fillId="0" borderId="15" xfId="0" quotePrefix="1" applyFont="1" applyBorder="1" applyAlignment="1">
      <alignment horizontal="center" vertical="center"/>
    </xf>
    <xf numFmtId="0" fontId="53" fillId="0" borderId="14" xfId="0" quotePrefix="1" applyFont="1" applyBorder="1" applyAlignment="1">
      <alignment horizontal="center" vertical="center"/>
    </xf>
    <xf numFmtId="0" fontId="54" fillId="0" borderId="15" xfId="0" applyFont="1" applyBorder="1" applyAlignment="1">
      <alignment horizontal="center" vertical="center"/>
    </xf>
    <xf numFmtId="0" fontId="54" fillId="0" borderId="14" xfId="0" applyFont="1" applyBorder="1" applyAlignment="1">
      <alignment horizontal="center" vertical="center"/>
    </xf>
    <xf numFmtId="2" fontId="0" fillId="0" borderId="0" xfId="0" applyNumberForma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5" fillId="0" borderId="15" xfId="0" quotePrefix="1"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2" fontId="0" fillId="0" borderId="0" xfId="0" applyNumberFormat="1" applyFill="1" applyBorder="1" applyAlignment="1">
      <alignment horizontal="center" vertical="center"/>
    </xf>
    <xf numFmtId="2" fontId="0" fillId="0" borderId="24" xfId="0" applyNumberFormat="1" applyFill="1" applyBorder="1" applyAlignment="1">
      <alignment horizontal="center" vertical="center"/>
    </xf>
    <xf numFmtId="0" fontId="53" fillId="0" borderId="12" xfId="0" applyFont="1" applyBorder="1" applyAlignment="1">
      <alignment horizontal="center" vertical="center"/>
    </xf>
    <xf numFmtId="0" fontId="0" fillId="0" borderId="11" xfId="0" applyBorder="1" applyAlignment="1"/>
    <xf numFmtId="0" fontId="53" fillId="0" borderId="24" xfId="0" applyFont="1" applyBorder="1" applyAlignment="1">
      <alignment horizontal="center" vertical="center"/>
    </xf>
    <xf numFmtId="0" fontId="0" fillId="0" borderId="23" xfId="0" applyBorder="1" applyAlignment="1"/>
    <xf numFmtId="0" fontId="53" fillId="0" borderId="19" xfId="0" applyFont="1" applyBorder="1" applyAlignment="1">
      <alignment horizontal="center" vertical="center"/>
    </xf>
    <xf numFmtId="0" fontId="0" fillId="0" borderId="10" xfId="0" applyBorder="1" applyAlignment="1"/>
    <xf numFmtId="0" fontId="3" fillId="0" borderId="0" xfId="0" applyFont="1" applyBorder="1" applyAlignment="1"/>
    <xf numFmtId="0" fontId="0" fillId="0" borderId="13" xfId="0" applyBorder="1" applyAlignment="1"/>
    <xf numFmtId="0" fontId="0" fillId="0" borderId="14" xfId="0" applyBorder="1" applyAlignment="1"/>
    <xf numFmtId="0" fontId="0" fillId="0" borderId="19" xfId="0" applyBorder="1" applyAlignment="1"/>
    <xf numFmtId="0" fontId="0" fillId="0" borderId="20" xfId="0" applyBorder="1" applyAlignment="1"/>
    <xf numFmtId="0" fontId="3" fillId="0" borderId="13" xfId="0" applyFont="1" applyBorder="1" applyAlignment="1"/>
    <xf numFmtId="0" fontId="3" fillId="0" borderId="14" xfId="0" applyFont="1" applyBorder="1" applyAlignment="1"/>
    <xf numFmtId="0" fontId="108" fillId="0" borderId="0" xfId="0" applyFont="1" applyBorder="1" applyAlignment="1">
      <alignment horizontal="center" vertical="center" wrapText="1"/>
    </xf>
    <xf numFmtId="0" fontId="0" fillId="0" borderId="0" xfId="0" applyAlignment="1">
      <alignment horizontal="center" vertical="center"/>
    </xf>
    <xf numFmtId="0" fontId="0" fillId="0" borderId="0" xfId="0" applyAlignment="1"/>
    <xf numFmtId="0" fontId="108" fillId="0" borderId="0" xfId="0" applyFont="1" applyBorder="1" applyAlignment="1">
      <alignment horizontal="center" wrapText="1"/>
    </xf>
    <xf numFmtId="0" fontId="32" fillId="0" borderId="12"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2" fillId="0" borderId="24" xfId="0" applyFont="1" applyBorder="1" applyAlignment="1">
      <alignment horizontal="center" vertical="center" wrapText="1"/>
    </xf>
    <xf numFmtId="0" fontId="32" fillId="0" borderId="23" xfId="0" applyFont="1" applyBorder="1" applyAlignment="1">
      <alignment horizontal="center" vertical="center" wrapText="1"/>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33" fillId="0" borderId="24" xfId="0" applyFont="1" applyBorder="1" applyAlignment="1">
      <alignment horizontal="center" vertical="center"/>
    </xf>
    <xf numFmtId="0" fontId="33" fillId="0" borderId="23" xfId="0" applyFont="1" applyBorder="1" applyAlignment="1">
      <alignment horizontal="center" vertical="center"/>
    </xf>
    <xf numFmtId="0" fontId="33" fillId="0" borderId="12"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wrapText="1"/>
    </xf>
    <xf numFmtId="0" fontId="33" fillId="0" borderId="11" xfId="0" applyFont="1" applyBorder="1" applyAlignment="1">
      <alignment horizontal="center" vertical="center" wrapText="1"/>
    </xf>
    <xf numFmtId="0" fontId="92" fillId="0" borderId="10" xfId="0" applyFont="1" applyBorder="1" applyAlignment="1">
      <alignment horizontal="center" wrapText="1"/>
    </xf>
    <xf numFmtId="0" fontId="120" fillId="0" borderId="0" xfId="0" applyFont="1" applyBorder="1" applyAlignment="1">
      <alignment vertical="top" wrapText="1"/>
    </xf>
    <xf numFmtId="0" fontId="120" fillId="0" borderId="0" xfId="0" applyFont="1" applyAlignment="1">
      <alignment vertical="top" wrapText="1"/>
    </xf>
    <xf numFmtId="0" fontId="7" fillId="0" borderId="0" xfId="0" applyFont="1" applyAlignment="1">
      <alignment wrapText="1"/>
    </xf>
    <xf numFmtId="0" fontId="14" fillId="0" borderId="22" xfId="0" applyFont="1" applyBorder="1" applyAlignment="1">
      <alignment horizontal="right" vertical="top"/>
    </xf>
    <xf numFmtId="0" fontId="48" fillId="0" borderId="13" xfId="0" applyFont="1" applyBorder="1" applyAlignment="1">
      <alignment horizontal="center"/>
    </xf>
    <xf numFmtId="0" fontId="48" fillId="0" borderId="14" xfId="0" applyFont="1" applyBorder="1" applyAlignment="1">
      <alignment horizontal="center"/>
    </xf>
    <xf numFmtId="0" fontId="48" fillId="0" borderId="24" xfId="0" applyFont="1" applyBorder="1" applyAlignment="1">
      <alignment horizontal="center" vertical="center"/>
    </xf>
    <xf numFmtId="0" fontId="48" fillId="0" borderId="19" xfId="0" applyFont="1" applyBorder="1" applyAlignment="1">
      <alignment horizontal="center" vertical="center"/>
    </xf>
    <xf numFmtId="0" fontId="121" fillId="0" borderId="0" xfId="0" applyFont="1" applyAlignment="1">
      <alignment horizontal="center" vertical="center" wrapText="1"/>
    </xf>
    <xf numFmtId="0" fontId="48" fillId="0" borderId="19" xfId="0" quotePrefix="1" applyFont="1" applyBorder="1" applyAlignment="1">
      <alignment horizontal="center" vertical="center"/>
    </xf>
    <xf numFmtId="0" fontId="48" fillId="0" borderId="20" xfId="0" applyFont="1" applyBorder="1" applyAlignment="1">
      <alignment horizontal="center" vertical="center"/>
    </xf>
    <xf numFmtId="0" fontId="1" fillId="0" borderId="10" xfId="0" quotePrefix="1" applyFont="1" applyBorder="1" applyAlignment="1">
      <alignment horizontal="center" vertical="center"/>
    </xf>
    <xf numFmtId="0" fontId="48" fillId="0" borderId="24"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12" xfId="0" applyFont="1" applyBorder="1" applyAlignment="1">
      <alignment horizontal="center" vertical="center"/>
    </xf>
    <xf numFmtId="0" fontId="48" fillId="0" borderId="11" xfId="0" applyFont="1" applyBorder="1" applyAlignment="1">
      <alignment horizontal="center" vertical="center"/>
    </xf>
    <xf numFmtId="0" fontId="58" fillId="0" borderId="0" xfId="0" applyFont="1" applyBorder="1" applyAlignment="1">
      <alignment horizontal="center"/>
    </xf>
    <xf numFmtId="0" fontId="48" fillId="0" borderId="23" xfId="0" applyFont="1" applyBorder="1" applyAlignment="1">
      <alignment horizontal="center" vertical="center"/>
    </xf>
    <xf numFmtId="0" fontId="54" fillId="0" borderId="10" xfId="0" applyFont="1" applyBorder="1" applyAlignment="1">
      <alignment wrapText="1"/>
    </xf>
    <xf numFmtId="0" fontId="33" fillId="0" borderId="15" xfId="0" applyFont="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164" fontId="58" fillId="24" borderId="19" xfId="0" applyNumberFormat="1" applyFont="1" applyFill="1" applyBorder="1" applyAlignment="1">
      <alignment horizontal="center" vertical="center"/>
    </xf>
    <xf numFmtId="164" fontId="58" fillId="24" borderId="10" xfId="0" applyNumberFormat="1" applyFont="1" applyFill="1" applyBorder="1" applyAlignment="1">
      <alignment horizontal="center" vertical="center"/>
    </xf>
    <xf numFmtId="164" fontId="58" fillId="24" borderId="20" xfId="0" applyNumberFormat="1" applyFont="1" applyFill="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24" xfId="0" applyFont="1" applyBorder="1" applyAlignment="1">
      <alignment horizontal="center" vertical="center"/>
    </xf>
    <xf numFmtId="0" fontId="16" fillId="0" borderId="23" xfId="0" applyFont="1" applyBorder="1" applyAlignment="1">
      <alignment horizontal="center" vertical="center"/>
    </xf>
    <xf numFmtId="0" fontId="12" fillId="0" borderId="15" xfId="0" quotePrefix="1" applyFont="1" applyBorder="1" applyAlignment="1">
      <alignment horizontal="center" vertical="center"/>
    </xf>
    <xf numFmtId="0" fontId="12" fillId="0" borderId="14" xfId="0" quotePrefix="1" applyFont="1" applyBorder="1" applyAlignment="1">
      <alignment horizontal="center" vertical="center"/>
    </xf>
    <xf numFmtId="0" fontId="0" fillId="0" borderId="0" xfId="0"/>
    <xf numFmtId="0" fontId="16" fillId="0" borderId="10" xfId="0" applyFont="1" applyBorder="1" applyAlignment="1">
      <alignment horizontal="left"/>
    </xf>
    <xf numFmtId="0" fontId="48" fillId="0" borderId="15"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22" xfId="0" applyFont="1" applyBorder="1" applyAlignment="1">
      <alignment horizontal="center" vertical="center"/>
    </xf>
    <xf numFmtId="2" fontId="0" fillId="0" borderId="22" xfId="0" applyNumberFormat="1" applyBorder="1" applyAlignment="1">
      <alignment horizontal="center" vertical="center"/>
    </xf>
    <xf numFmtId="0" fontId="31" fillId="0" borderId="15" xfId="0" applyFont="1" applyBorder="1" applyAlignment="1">
      <alignment horizontal="center" vertical="center"/>
    </xf>
    <xf numFmtId="0" fontId="31" fillId="0" borderId="14" xfId="0" applyFont="1" applyBorder="1" applyAlignment="1">
      <alignment horizontal="center" vertical="center"/>
    </xf>
    <xf numFmtId="0" fontId="103" fillId="0" borderId="24" xfId="0" applyFont="1" applyBorder="1" applyAlignment="1">
      <alignment horizontal="center" vertical="center"/>
    </xf>
    <xf numFmtId="0" fontId="103" fillId="0" borderId="22" xfId="0" applyFont="1" applyBorder="1" applyAlignment="1">
      <alignment horizontal="center" vertical="center"/>
    </xf>
    <xf numFmtId="0" fontId="103" fillId="0" borderId="23" xfId="0" applyFont="1" applyBorder="1" applyAlignment="1">
      <alignment horizontal="center" vertical="center"/>
    </xf>
    <xf numFmtId="2" fontId="3" fillId="0" borderId="19" xfId="0" applyNumberFormat="1" applyFont="1" applyBorder="1" applyAlignment="1">
      <alignment horizontal="center" vertical="center"/>
    </xf>
    <xf numFmtId="0" fontId="16" fillId="0" borderId="13" xfId="0" applyFont="1" applyBorder="1" applyAlignment="1">
      <alignment horizontal="center" vertical="center" wrapText="1"/>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05" fillId="0" borderId="22" xfId="0" applyFont="1" applyBorder="1" applyAlignment="1">
      <alignment horizontal="left" vertical="top" wrapText="1"/>
    </xf>
    <xf numFmtId="0" fontId="105" fillId="0" borderId="0" xfId="0" applyFont="1" applyBorder="1" applyAlignment="1">
      <alignment horizontal="left" vertical="top" wrapText="1"/>
    </xf>
    <xf numFmtId="0" fontId="31" fillId="0" borderId="13" xfId="0" applyFont="1" applyBorder="1" applyAlignment="1">
      <alignment horizontal="center" vertical="center"/>
    </xf>
    <xf numFmtId="0" fontId="48" fillId="0" borderId="21" xfId="0" applyFont="1" applyBorder="1" applyAlignment="1">
      <alignment horizontal="center" vertical="center" wrapText="1"/>
    </xf>
    <xf numFmtId="0" fontId="48" fillId="0" borderId="18" xfId="0" applyFont="1" applyBorder="1" applyAlignment="1">
      <alignment horizontal="center" vertical="center" wrapText="1"/>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2" fontId="0" fillId="0" borderId="12" xfId="0" quotePrefix="1" applyNumberFormat="1" applyBorder="1" applyAlignment="1">
      <alignment horizontal="center" vertical="center"/>
    </xf>
    <xf numFmtId="0" fontId="11" fillId="0" borderId="19" xfId="0" applyFont="1" applyBorder="1" applyAlignment="1">
      <alignment horizontal="center" vertical="center"/>
    </xf>
    <xf numFmtId="0" fontId="11" fillId="0" borderId="11" xfId="0" applyFont="1" applyBorder="1" applyAlignment="1">
      <alignment horizontal="center" vertical="center"/>
    </xf>
    <xf numFmtId="0" fontId="10" fillId="0" borderId="24" xfId="0" applyFont="1" applyBorder="1" applyAlignment="1">
      <alignment horizontal="center" vertical="center"/>
    </xf>
    <xf numFmtId="0" fontId="10" fillId="0" borderId="22" xfId="0" applyFont="1" applyBorder="1" applyAlignment="1">
      <alignment horizontal="center" vertical="center"/>
    </xf>
    <xf numFmtId="0" fontId="48" fillId="0" borderId="15" xfId="0" applyFont="1" applyBorder="1" applyAlignment="1">
      <alignment horizontal="center" vertical="center"/>
    </xf>
    <xf numFmtId="0" fontId="48" fillId="0" borderId="13" xfId="0" applyFont="1" applyBorder="1" applyAlignment="1">
      <alignment horizontal="center" vertical="center"/>
    </xf>
    <xf numFmtId="0" fontId="48" fillId="0" borderId="14" xfId="0" applyFont="1" applyBorder="1" applyAlignment="1">
      <alignment horizontal="center" vertical="center"/>
    </xf>
    <xf numFmtId="0" fontId="16" fillId="0" borderId="22" xfId="0" applyFont="1" applyBorder="1" applyAlignment="1">
      <alignment horizontal="center" vertical="center" wrapText="1"/>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92" fillId="0" borderId="10" xfId="0" applyFont="1" applyBorder="1" applyAlignment="1">
      <alignment horizontal="center" vertical="center"/>
    </xf>
    <xf numFmtId="0" fontId="29" fillId="0" borderId="21" xfId="0" applyFont="1" applyBorder="1" applyAlignment="1">
      <alignment horizontal="center" vertical="center" wrapText="1"/>
    </xf>
    <xf numFmtId="0" fontId="3" fillId="0" borderId="17" xfId="0" applyFont="1" applyBorder="1" applyAlignment="1">
      <alignment vertical="center"/>
    </xf>
    <xf numFmtId="0" fontId="3" fillId="0" borderId="18" xfId="0" applyFont="1" applyBorder="1" applyAlignment="1">
      <alignment vertical="center"/>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1" xfId="0" applyFont="1" applyBorder="1" applyAlignment="1">
      <alignment horizontal="center" vertical="top" wrapText="1"/>
    </xf>
    <xf numFmtId="0" fontId="29" fillId="0" borderId="17" xfId="0" applyFont="1" applyBorder="1" applyAlignment="1">
      <alignment horizontal="center" vertical="top" wrapText="1"/>
    </xf>
    <xf numFmtId="0" fontId="0" fillId="0" borderId="19" xfId="0" quotePrefix="1" applyBorder="1" applyAlignment="1">
      <alignment horizontal="center" vertical="center"/>
    </xf>
    <xf numFmtId="0" fontId="0" fillId="0" borderId="22" xfId="0" applyBorder="1" applyAlignment="1">
      <alignment horizontal="left" vertical="top" wrapText="1"/>
    </xf>
    <xf numFmtId="0" fontId="0" fillId="0" borderId="0" xfId="0" applyAlignment="1">
      <alignment horizontal="left" vertical="top" wrapText="1"/>
    </xf>
    <xf numFmtId="0" fontId="42" fillId="0" borderId="21" xfId="0" applyFont="1" applyBorder="1" applyAlignment="1">
      <alignment horizontal="center" vertical="center"/>
    </xf>
    <xf numFmtId="0" fontId="42" fillId="0" borderId="18" xfId="0" applyFont="1" applyBorder="1" applyAlignment="1">
      <alignment horizontal="center" vertical="center"/>
    </xf>
    <xf numFmtId="0" fontId="54" fillId="0" borderId="15"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14"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13" xfId="0" applyFont="1" applyBorder="1" applyAlignment="1">
      <alignment horizontal="center" vertical="center"/>
    </xf>
    <xf numFmtId="0" fontId="32" fillId="0" borderId="22" xfId="0" applyFont="1" applyBorder="1" applyAlignment="1">
      <alignment horizontal="center" vertical="center"/>
    </xf>
    <xf numFmtId="0" fontId="53" fillId="0" borderId="12" xfId="0" applyFont="1" applyBorder="1" applyAlignment="1">
      <alignment horizontal="center" vertical="center" wrapText="1"/>
    </xf>
    <xf numFmtId="0" fontId="53" fillId="0" borderId="11" xfId="0" applyFont="1" applyBorder="1" applyAlignment="1">
      <alignment horizontal="center" vertical="center" wrapText="1"/>
    </xf>
    <xf numFmtId="0" fontId="17" fillId="0" borderId="13" xfId="0" quotePrefix="1" applyFont="1" applyFill="1" applyBorder="1" applyAlignment="1">
      <alignment horizontal="center" vertical="center"/>
    </xf>
    <xf numFmtId="0" fontId="53" fillId="0" borderId="11" xfId="0" applyFont="1" applyBorder="1" applyAlignment="1">
      <alignment horizontal="center" vertical="center"/>
    </xf>
    <xf numFmtId="0" fontId="0" fillId="0" borderId="20" xfId="0" quotePrefix="1" applyBorder="1" applyAlignment="1">
      <alignment horizontal="center" vertical="center"/>
    </xf>
    <xf numFmtId="0" fontId="16" fillId="0" borderId="1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8" xfId="0" applyFont="1" applyBorder="1" applyAlignment="1">
      <alignment horizontal="center" vertical="center" wrapText="1"/>
    </xf>
    <xf numFmtId="0" fontId="14" fillId="0" borderId="22" xfId="0" applyFont="1" applyBorder="1" applyAlignment="1">
      <alignment horizontal="right" vertical="top" wrapText="1"/>
    </xf>
    <xf numFmtId="0" fontId="14" fillId="0" borderId="0" xfId="0" applyFont="1" applyAlignment="1">
      <alignment horizontal="left"/>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33" fillId="0" borderId="21" xfId="0" applyFont="1" applyBorder="1" applyAlignment="1" applyProtection="1">
      <alignment vertical="center" shrinkToFit="1"/>
      <protection locked="0"/>
    </xf>
    <xf numFmtId="0" fontId="33" fillId="0" borderId="18" xfId="0" applyFont="1" applyBorder="1" applyAlignment="1" applyProtection="1">
      <alignment vertical="center" shrinkToFit="1"/>
      <protection locked="0"/>
    </xf>
    <xf numFmtId="0" fontId="47" fillId="0" borderId="21" xfId="0" applyFont="1" applyBorder="1" applyAlignment="1">
      <alignment horizontal="center" vertical="center" wrapText="1"/>
    </xf>
    <xf numFmtId="0" fontId="47" fillId="0" borderId="1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8" xfId="0" applyFont="1" applyBorder="1" applyAlignment="1">
      <alignment horizontal="center" vertical="center" wrapText="1"/>
    </xf>
    <xf numFmtId="0" fontId="13" fillId="0" borderId="21" xfId="0" applyFont="1" applyBorder="1" applyAlignment="1">
      <alignment horizontal="center" vertical="center" wrapText="1"/>
    </xf>
    <xf numFmtId="0" fontId="29" fillId="0" borderId="16" xfId="0" applyFont="1" applyBorder="1" applyAlignment="1">
      <alignment horizontal="center" vertical="center"/>
    </xf>
    <xf numFmtId="0" fontId="14" fillId="0" borderId="15" xfId="0" applyFont="1" applyBorder="1" applyAlignment="1">
      <alignment horizontal="center" vertical="center"/>
    </xf>
    <xf numFmtId="0" fontId="33" fillId="0" borderId="21" xfId="0" applyFont="1" applyBorder="1" applyAlignment="1" applyProtection="1">
      <alignment vertical="center" wrapText="1" shrinkToFit="1"/>
      <protection locked="0"/>
    </xf>
    <xf numFmtId="0" fontId="48" fillId="0" borderId="17" xfId="0" applyFont="1" applyBorder="1" applyAlignment="1">
      <alignment horizontal="center" vertical="center"/>
    </xf>
    <xf numFmtId="0" fontId="33" fillId="0" borderId="17" xfId="0" applyFont="1" applyBorder="1" applyAlignment="1" applyProtection="1">
      <alignment vertical="center" shrinkToFit="1"/>
      <protection locked="0"/>
    </xf>
    <xf numFmtId="0" fontId="97" fillId="0" borderId="0" xfId="0" applyFont="1" applyBorder="1" applyAlignment="1">
      <alignment vertical="top" wrapText="1"/>
    </xf>
    <xf numFmtId="0" fontId="97" fillId="0" borderId="0" xfId="0" applyFont="1" applyAlignment="1">
      <alignment vertical="top" wrapText="1"/>
    </xf>
    <xf numFmtId="0" fontId="16" fillId="0" borderId="21" xfId="0" applyFont="1" applyBorder="1" applyAlignment="1">
      <alignment horizontal="center" vertical="center"/>
    </xf>
    <xf numFmtId="0" fontId="16" fillId="0" borderId="18" xfId="0" applyFont="1" applyBorder="1" applyAlignment="1">
      <alignment horizontal="center" vertical="center"/>
    </xf>
    <xf numFmtId="0" fontId="104"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20" fillId="0" borderId="21" xfId="0" applyFont="1" applyBorder="1" applyAlignment="1">
      <alignment horizontal="center" vertical="center"/>
    </xf>
    <xf numFmtId="0" fontId="20" fillId="0" borderId="18" xfId="0" applyFont="1" applyBorder="1" applyAlignment="1">
      <alignment horizontal="center" vertical="center"/>
    </xf>
    <xf numFmtId="0" fontId="14" fillId="0" borderId="0" xfId="0" quotePrefix="1" applyFont="1" applyAlignment="1">
      <alignment horizontal="center"/>
    </xf>
    <xf numFmtId="0" fontId="0" fillId="0" borderId="0" xfId="0" applyAlignment="1">
      <alignment vertical="top" wrapText="1"/>
    </xf>
    <xf numFmtId="0" fontId="33" fillId="0" borderId="21" xfId="0" applyFont="1" applyBorder="1" applyAlignment="1">
      <alignment horizontal="center" vertical="center"/>
    </xf>
    <xf numFmtId="0" fontId="33" fillId="0" borderId="18" xfId="0" applyFont="1" applyBorder="1" applyAlignment="1">
      <alignment horizontal="center" vertical="center"/>
    </xf>
    <xf numFmtId="0" fontId="12" fillId="0" borderId="18" xfId="0" applyFont="1" applyBorder="1" applyAlignment="1">
      <alignment horizontal="center" vertical="center"/>
    </xf>
    <xf numFmtId="0" fontId="16" fillId="0" borderId="15" xfId="0" applyFont="1" applyBorder="1" applyAlignment="1">
      <alignment horizontal="center" vertical="top" wrapText="1"/>
    </xf>
    <xf numFmtId="0" fontId="107" fillId="0" borderId="0" xfId="0" applyFont="1" applyAlignment="1">
      <alignment horizontal="center"/>
    </xf>
    <xf numFmtId="0" fontId="31" fillId="0" borderId="21"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12" fillId="0" borderId="21"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Sheet1" xfId="38"/>
    <cellStyle name="Normal_Sheet2"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6">
    <dxf>
      <font>
        <b/>
        <i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1.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485775</xdr:colOff>
      <xdr:row>9</xdr:row>
      <xdr:rowOff>57150</xdr:rowOff>
    </xdr:from>
    <xdr:to>
      <xdr:col>6</xdr:col>
      <xdr:colOff>180975</xdr:colOff>
      <xdr:row>12</xdr:row>
      <xdr:rowOff>47625</xdr:rowOff>
    </xdr:to>
    <xdr:sp macro="" textlink="">
      <xdr:nvSpPr>
        <xdr:cNvPr id="6145" name="WordArt 1"/>
        <xdr:cNvSpPr>
          <a:spLocks noChangeArrowheads="1" noChangeShapeType="1" noTextEdit="1"/>
        </xdr:cNvSpPr>
      </xdr:nvSpPr>
      <xdr:spPr bwMode="auto">
        <a:xfrm>
          <a:off x="1704975" y="1514475"/>
          <a:ext cx="2133600" cy="476250"/>
        </a:xfrm>
        <a:prstGeom prst="rect">
          <a:avLst/>
        </a:prstGeom>
      </xdr:spPr>
      <xdr:txBody>
        <a:bodyPr wrap="none" fromWordArt="1">
          <a:prstTxWarp prst="textPlain">
            <a:avLst>
              <a:gd name="adj" fmla="val 50000"/>
            </a:avLst>
          </a:prstTxWarp>
        </a:bodyPr>
        <a:lstStyle/>
        <a:p>
          <a:pPr algn="ctr" rtl="0"/>
          <a:r>
            <a:rPr lang="en-US" sz="4400" kern="10" spc="0">
              <a:ln w="9525">
                <a:solidFill>
                  <a:srgbClr val="800080"/>
                </a:solidFill>
                <a:round/>
                <a:headEnd/>
                <a:tailEnd/>
              </a:ln>
              <a:solidFill>
                <a:srgbClr val="800080"/>
              </a:solidFill>
              <a:effectLst>
                <a:outerShdw dist="45791" dir="2021404" algn="ctr" rotWithShape="0">
                  <a:srgbClr val="C0C0C0"/>
                </a:outerShdw>
              </a:effectLst>
              <a:latin typeface="Times New Roman"/>
              <a:cs typeface="Times New Roman"/>
            </a:rPr>
            <a:t>SOUTH 24 - PARGANAS</a:t>
          </a:r>
        </a:p>
      </xdr:txBody>
    </xdr:sp>
    <xdr:clientData/>
  </xdr:twoCellAnchor>
  <xdr:twoCellAnchor>
    <xdr:from>
      <xdr:col>0</xdr:col>
      <xdr:colOff>19050</xdr:colOff>
      <xdr:row>6</xdr:row>
      <xdr:rowOff>76200</xdr:rowOff>
    </xdr:from>
    <xdr:to>
      <xdr:col>8</xdr:col>
      <xdr:colOff>552450</xdr:colOff>
      <xdr:row>32</xdr:row>
      <xdr:rowOff>95250</xdr:rowOff>
    </xdr:to>
    <xdr:sp macro="" textlink="">
      <xdr:nvSpPr>
        <xdr:cNvPr id="6148" name="WordArt 4"/>
        <xdr:cNvSpPr>
          <a:spLocks noChangeArrowheads="1" noChangeShapeType="1"/>
        </xdr:cNvSpPr>
      </xdr:nvSpPr>
      <xdr:spPr bwMode="auto">
        <a:xfrm>
          <a:off x="19050" y="1047750"/>
          <a:ext cx="5419725" cy="4229100"/>
        </a:xfrm>
        <a:prstGeom prst="rect">
          <a:avLst/>
        </a:prstGeom>
      </xdr:spPr>
      <xdr:txBody>
        <a:bodyPr wrap="none" fromWordArt="1">
          <a:prstTxWarp prst="textArchUp">
            <a:avLst>
              <a:gd name="adj" fmla="val 12401781"/>
            </a:avLst>
          </a:prstTxWarp>
        </a:bodyPr>
        <a:lstStyle/>
        <a:p>
          <a:pPr algn="ctr" rtl="0"/>
          <a:r>
            <a:rPr lang="en-US" sz="3600" kern="10" spc="0">
              <a:ln w="9525">
                <a:solidFill>
                  <a:srgbClr val="993366"/>
                </a:solidFill>
                <a:round/>
                <a:headEnd/>
                <a:tailEnd/>
              </a:ln>
              <a:solidFill>
                <a:srgbClr val="993366"/>
              </a:solidFill>
              <a:effectLst/>
              <a:latin typeface="Arial"/>
              <a:cs typeface="Arial"/>
            </a:rPr>
            <a:t>District Statistical Handbook</a:t>
          </a:r>
        </a:p>
      </xdr:txBody>
    </xdr:sp>
    <xdr:clientData/>
  </xdr:twoCellAnchor>
  <xdr:twoCellAnchor editAs="oneCell">
    <xdr:from>
      <xdr:col>0</xdr:col>
      <xdr:colOff>0</xdr:colOff>
      <xdr:row>16</xdr:row>
      <xdr:rowOff>142875</xdr:rowOff>
    </xdr:from>
    <xdr:to>
      <xdr:col>8</xdr:col>
      <xdr:colOff>581025</xdr:colOff>
      <xdr:row>49</xdr:row>
      <xdr:rowOff>9525</xdr:rowOff>
    </xdr:to>
    <xdr:pic>
      <xdr:nvPicPr>
        <xdr:cNvPr id="6150" name="Picture 6" descr="south24pgs"/>
        <xdr:cNvPicPr>
          <a:picLocks noChangeAspect="1" noChangeArrowheads="1"/>
        </xdr:cNvPicPr>
      </xdr:nvPicPr>
      <xdr:blipFill>
        <a:blip xmlns:r="http://schemas.openxmlformats.org/officeDocument/2006/relationships" r:embed="rId1"/>
        <a:srcRect/>
        <a:stretch>
          <a:fillRect/>
        </a:stretch>
      </xdr:blipFill>
      <xdr:spPr bwMode="auto">
        <a:xfrm>
          <a:off x="0" y="2733675"/>
          <a:ext cx="5467350" cy="5400675"/>
        </a:xfrm>
        <a:prstGeom prst="rect">
          <a:avLst/>
        </a:prstGeom>
        <a:noFill/>
      </xdr:spPr>
    </xdr:pic>
    <xdr:clientData/>
  </xdr:twoCellAnchor>
  <xdr:twoCellAnchor>
    <xdr:from>
      <xdr:col>2</xdr:col>
      <xdr:colOff>342900</xdr:colOff>
      <xdr:row>13</xdr:row>
      <xdr:rowOff>47625</xdr:rowOff>
    </xdr:from>
    <xdr:to>
      <xdr:col>6</xdr:col>
      <xdr:colOff>295275</xdr:colOff>
      <xdr:row>15</xdr:row>
      <xdr:rowOff>123825</xdr:rowOff>
    </xdr:to>
    <xdr:sp macro="" textlink="">
      <xdr:nvSpPr>
        <xdr:cNvPr id="6152" name="WordArt 8" descr="White marble"/>
        <xdr:cNvSpPr>
          <a:spLocks noChangeArrowheads="1" noChangeShapeType="1" noTextEdit="1"/>
        </xdr:cNvSpPr>
      </xdr:nvSpPr>
      <xdr:spPr bwMode="auto">
        <a:xfrm>
          <a:off x="1562100" y="2152650"/>
          <a:ext cx="2390775" cy="400050"/>
        </a:xfrm>
        <a:prstGeom prst="rect">
          <a:avLst/>
        </a:prstGeom>
      </xdr:spPr>
      <xdr:txBody>
        <a:bodyPr wrap="none" fromWordArt="1">
          <a:prstTxWarp prst="textPlain">
            <a:avLst>
              <a:gd name="adj" fmla="val 50000"/>
            </a:avLst>
          </a:prstTxWarp>
          <a:scene3d>
            <a:camera prst="legacyObliqueRight"/>
            <a:lightRig rig="legacyHarsh3" dir="t"/>
          </a:scene3d>
          <a:sp3d extrusionH="100000" prstMaterial="legacyMatte">
            <a:extrusionClr>
              <a:srgbClr val="663300"/>
            </a:extrusionClr>
          </a:sp3d>
        </a:bodyPr>
        <a:lstStyle/>
        <a:p>
          <a:pPr algn="ctr" rtl="0"/>
          <a:r>
            <a:rPr lang="en-US" sz="2800" kern="10" spc="0">
              <a:ln w="9525">
                <a:round/>
                <a:headEnd/>
                <a:tailEnd/>
              </a:ln>
              <a:blipFill dpi="0" rotWithShape="0">
                <a:blip xmlns:r="http://schemas.openxmlformats.org/officeDocument/2006/relationships" r:embed="rId2"/>
                <a:srcRect/>
                <a:tile tx="0" ty="0" sx="100000" sy="100000" flip="none" algn="tl"/>
              </a:blipFill>
              <a:effectLst/>
              <a:latin typeface="Garamond"/>
            </a:rPr>
            <a:t>2014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1190625</xdr:colOff>
      <xdr:row>9</xdr:row>
      <xdr:rowOff>38100</xdr:rowOff>
    </xdr:from>
    <xdr:to>
      <xdr:col>1</xdr:col>
      <xdr:colOff>1266825</xdr:colOff>
      <xdr:row>10</xdr:row>
      <xdr:rowOff>161925</xdr:rowOff>
    </xdr:to>
    <xdr:sp macro="" textlink="">
      <xdr:nvSpPr>
        <xdr:cNvPr id="5126" name="AutoShape 6"/>
        <xdr:cNvSpPr>
          <a:spLocks/>
        </xdr:cNvSpPr>
      </xdr:nvSpPr>
      <xdr:spPr bwMode="auto">
        <a:xfrm>
          <a:off x="2047875" y="2095500"/>
          <a:ext cx="76200" cy="333375"/>
        </a:xfrm>
        <a:prstGeom prst="leftBrace">
          <a:avLst>
            <a:gd name="adj1" fmla="val 36458"/>
            <a:gd name="adj2" fmla="val 50000"/>
          </a:avLst>
        </a:prstGeom>
        <a:noFill/>
        <a:ln w="9525">
          <a:solidFill>
            <a:srgbClr val="993366"/>
          </a:solidFill>
          <a:round/>
          <a:headEnd/>
          <a:tailEnd/>
        </a:ln>
        <a:effectLst/>
      </xdr:spPr>
    </xdr:sp>
    <xdr:clientData/>
  </xdr:twoCellAnchor>
  <xdr:twoCellAnchor>
    <xdr:from>
      <xdr:col>1</xdr:col>
      <xdr:colOff>1247775</xdr:colOff>
      <xdr:row>14</xdr:row>
      <xdr:rowOff>47625</xdr:rowOff>
    </xdr:from>
    <xdr:to>
      <xdr:col>1</xdr:col>
      <xdr:colOff>1333500</xdr:colOff>
      <xdr:row>14</xdr:row>
      <xdr:rowOff>304800</xdr:rowOff>
    </xdr:to>
    <xdr:sp macro="" textlink="">
      <xdr:nvSpPr>
        <xdr:cNvPr id="5129" name="AutoShape 9"/>
        <xdr:cNvSpPr>
          <a:spLocks/>
        </xdr:cNvSpPr>
      </xdr:nvSpPr>
      <xdr:spPr bwMode="auto">
        <a:xfrm>
          <a:off x="2105025" y="3352800"/>
          <a:ext cx="85725" cy="257175"/>
        </a:xfrm>
        <a:prstGeom prst="rightBrace">
          <a:avLst>
            <a:gd name="adj1" fmla="val 41667"/>
            <a:gd name="adj2" fmla="val 50000"/>
          </a:avLst>
        </a:prstGeom>
        <a:noFill/>
        <a:ln w="9525">
          <a:solidFill>
            <a:srgbClr val="993366"/>
          </a:solidFill>
          <a:round/>
          <a:headEnd/>
          <a:tailEnd/>
        </a:ln>
        <a:effectLst/>
      </xdr:spPr>
    </xdr:sp>
    <xdr:clientData/>
  </xdr:twoCellAnchor>
  <xdr:twoCellAnchor>
    <xdr:from>
      <xdr:col>1</xdr:col>
      <xdr:colOff>1257300</xdr:colOff>
      <xdr:row>23</xdr:row>
      <xdr:rowOff>19050</xdr:rowOff>
    </xdr:from>
    <xdr:to>
      <xdr:col>1</xdr:col>
      <xdr:colOff>1333500</xdr:colOff>
      <xdr:row>23</xdr:row>
      <xdr:rowOff>466725</xdr:rowOff>
    </xdr:to>
    <xdr:sp macro="" textlink="">
      <xdr:nvSpPr>
        <xdr:cNvPr id="5131" name="AutoShape 11"/>
        <xdr:cNvSpPr>
          <a:spLocks/>
        </xdr:cNvSpPr>
      </xdr:nvSpPr>
      <xdr:spPr bwMode="auto">
        <a:xfrm>
          <a:off x="2114550" y="6143625"/>
          <a:ext cx="76200" cy="447675"/>
        </a:xfrm>
        <a:prstGeom prst="rightBrace">
          <a:avLst>
            <a:gd name="adj1" fmla="val 48958"/>
            <a:gd name="adj2" fmla="val 50000"/>
          </a:avLst>
        </a:prstGeom>
        <a:noFill/>
        <a:ln w="9525">
          <a:solidFill>
            <a:srgbClr val="993366"/>
          </a:solidFill>
          <a:round/>
          <a:headEnd/>
          <a:tailEnd/>
        </a:ln>
        <a:effectLst/>
      </xdr:spPr>
    </xdr:sp>
    <xdr:clientData/>
  </xdr:twoCellAnchor>
  <xdr:twoCellAnchor>
    <xdr:from>
      <xdr:col>1</xdr:col>
      <xdr:colOff>1152525</xdr:colOff>
      <xdr:row>52</xdr:row>
      <xdr:rowOff>28575</xdr:rowOff>
    </xdr:from>
    <xdr:to>
      <xdr:col>1</xdr:col>
      <xdr:colOff>1228725</xdr:colOff>
      <xdr:row>53</xdr:row>
      <xdr:rowOff>0</xdr:rowOff>
    </xdr:to>
    <xdr:sp macro="" textlink="">
      <xdr:nvSpPr>
        <xdr:cNvPr id="5133" name="AutoShape 13"/>
        <xdr:cNvSpPr>
          <a:spLocks/>
        </xdr:cNvSpPr>
      </xdr:nvSpPr>
      <xdr:spPr bwMode="auto">
        <a:xfrm>
          <a:off x="2009775" y="13706475"/>
          <a:ext cx="76200" cy="428625"/>
        </a:xfrm>
        <a:prstGeom prst="rightBrace">
          <a:avLst>
            <a:gd name="adj1" fmla="val 47917"/>
            <a:gd name="adj2" fmla="val 50000"/>
          </a:avLst>
        </a:prstGeom>
        <a:noFill/>
        <a:ln w="9525">
          <a:solidFill>
            <a:srgbClr val="000000"/>
          </a:solidFill>
          <a:round/>
          <a:headEnd/>
          <a:tailEnd/>
        </a:ln>
        <a:effectLst/>
      </xdr:spPr>
    </xdr:sp>
    <xdr:clientData/>
  </xdr:twoCellAnchor>
  <xdr:twoCellAnchor>
    <xdr:from>
      <xdr:col>1</xdr:col>
      <xdr:colOff>1038225</xdr:colOff>
      <xdr:row>20</xdr:row>
      <xdr:rowOff>38100</xdr:rowOff>
    </xdr:from>
    <xdr:to>
      <xdr:col>1</xdr:col>
      <xdr:colOff>1104900</xdr:colOff>
      <xdr:row>20</xdr:row>
      <xdr:rowOff>314325</xdr:rowOff>
    </xdr:to>
    <xdr:sp macro="" textlink="">
      <xdr:nvSpPr>
        <xdr:cNvPr id="5134" name="AutoShape 14"/>
        <xdr:cNvSpPr>
          <a:spLocks/>
        </xdr:cNvSpPr>
      </xdr:nvSpPr>
      <xdr:spPr bwMode="auto">
        <a:xfrm>
          <a:off x="1895475" y="4762500"/>
          <a:ext cx="66675" cy="276225"/>
        </a:xfrm>
        <a:prstGeom prst="rightBrace">
          <a:avLst>
            <a:gd name="adj1" fmla="val 34524"/>
            <a:gd name="adj2" fmla="val 50000"/>
          </a:avLst>
        </a:prstGeom>
        <a:noFill/>
        <a:ln w="9525">
          <a:solidFill>
            <a:srgbClr val="993366"/>
          </a:solidFill>
          <a:round/>
          <a:headEnd/>
          <a:tailEnd/>
        </a:ln>
        <a:effectLst/>
      </xdr:spPr>
    </xdr:sp>
    <xdr:clientData/>
  </xdr:twoCellAnchor>
  <xdr:twoCellAnchor>
    <xdr:from>
      <xdr:col>1</xdr:col>
      <xdr:colOff>1295400</xdr:colOff>
      <xdr:row>54</xdr:row>
      <xdr:rowOff>19050</xdr:rowOff>
    </xdr:from>
    <xdr:to>
      <xdr:col>1</xdr:col>
      <xdr:colOff>1371600</xdr:colOff>
      <xdr:row>54</xdr:row>
      <xdr:rowOff>523875</xdr:rowOff>
    </xdr:to>
    <xdr:sp macro="" textlink="">
      <xdr:nvSpPr>
        <xdr:cNvPr id="5136" name="AutoShape 16"/>
        <xdr:cNvSpPr>
          <a:spLocks/>
        </xdr:cNvSpPr>
      </xdr:nvSpPr>
      <xdr:spPr bwMode="auto">
        <a:xfrm>
          <a:off x="2152650" y="14506575"/>
          <a:ext cx="76200" cy="504825"/>
        </a:xfrm>
        <a:prstGeom prst="rightBrace">
          <a:avLst>
            <a:gd name="adj1" fmla="val 31250"/>
            <a:gd name="adj2" fmla="val 50000"/>
          </a:avLst>
        </a:prstGeom>
        <a:noFill/>
        <a:ln w="9525">
          <a:solidFill>
            <a:srgbClr val="000000"/>
          </a:solidFill>
          <a:round/>
          <a:headEnd/>
          <a:tailEnd/>
        </a:ln>
        <a:effectLst/>
      </xdr:spPr>
    </xdr:sp>
    <xdr:clientData/>
  </xdr:twoCellAnchor>
  <xdr:twoCellAnchor>
    <xdr:from>
      <xdr:col>1</xdr:col>
      <xdr:colOff>1238250</xdr:colOff>
      <xdr:row>8</xdr:row>
      <xdr:rowOff>66675</xdr:rowOff>
    </xdr:from>
    <xdr:to>
      <xdr:col>1</xdr:col>
      <xdr:colOff>1343025</xdr:colOff>
      <xdr:row>8</xdr:row>
      <xdr:rowOff>457200</xdr:rowOff>
    </xdr:to>
    <xdr:sp macro="" textlink="">
      <xdr:nvSpPr>
        <xdr:cNvPr id="5138" name="AutoShape 18"/>
        <xdr:cNvSpPr>
          <a:spLocks/>
        </xdr:cNvSpPr>
      </xdr:nvSpPr>
      <xdr:spPr bwMode="auto">
        <a:xfrm>
          <a:off x="2095500" y="1800225"/>
          <a:ext cx="104775" cy="390525"/>
        </a:xfrm>
        <a:prstGeom prst="rightBrace">
          <a:avLst>
            <a:gd name="adj1" fmla="val 41667"/>
            <a:gd name="adj2" fmla="val 50000"/>
          </a:avLst>
        </a:prstGeom>
        <a:noFill/>
        <a:ln w="9525">
          <a:solidFill>
            <a:srgbClr val="993366"/>
          </a:solidFill>
          <a:round/>
          <a:headEnd/>
          <a:tailEnd/>
        </a:ln>
        <a:effectLst/>
      </xdr:spPr>
    </xdr:sp>
    <xdr:clientData/>
  </xdr:twoCellAnchor>
  <xdr:twoCellAnchor>
    <xdr:from>
      <xdr:col>1</xdr:col>
      <xdr:colOff>1209675</xdr:colOff>
      <xdr:row>11</xdr:row>
      <xdr:rowOff>47625</xdr:rowOff>
    </xdr:from>
    <xdr:to>
      <xdr:col>1</xdr:col>
      <xdr:colOff>1257300</xdr:colOff>
      <xdr:row>11</xdr:row>
      <xdr:rowOff>285750</xdr:rowOff>
    </xdr:to>
    <xdr:sp macro="" textlink="">
      <xdr:nvSpPr>
        <xdr:cNvPr id="5139" name="AutoShape 19"/>
        <xdr:cNvSpPr>
          <a:spLocks/>
        </xdr:cNvSpPr>
      </xdr:nvSpPr>
      <xdr:spPr bwMode="auto">
        <a:xfrm>
          <a:off x="2066925" y="2524125"/>
          <a:ext cx="47625" cy="238125"/>
        </a:xfrm>
        <a:prstGeom prst="rightBrace">
          <a:avLst>
            <a:gd name="adj1" fmla="val 41667"/>
            <a:gd name="adj2" fmla="val 50000"/>
          </a:avLst>
        </a:prstGeom>
        <a:noFill/>
        <a:ln w="9525">
          <a:solidFill>
            <a:srgbClr val="993366"/>
          </a:solidFill>
          <a:round/>
          <a:headEnd/>
          <a:tailEnd/>
        </a:ln>
        <a:effectLst/>
      </xdr:spPr>
    </xdr:sp>
    <xdr:clientData/>
  </xdr:twoCellAnchor>
  <xdr:twoCellAnchor>
    <xdr:from>
      <xdr:col>1</xdr:col>
      <xdr:colOff>1038225</xdr:colOff>
      <xdr:row>19</xdr:row>
      <xdr:rowOff>38100</xdr:rowOff>
    </xdr:from>
    <xdr:to>
      <xdr:col>1</xdr:col>
      <xdr:colOff>1104900</xdr:colOff>
      <xdr:row>19</xdr:row>
      <xdr:rowOff>304800</xdr:rowOff>
    </xdr:to>
    <xdr:sp macro="" textlink="">
      <xdr:nvSpPr>
        <xdr:cNvPr id="5140" name="AutoShape 20"/>
        <xdr:cNvSpPr>
          <a:spLocks/>
        </xdr:cNvSpPr>
      </xdr:nvSpPr>
      <xdr:spPr bwMode="auto">
        <a:xfrm>
          <a:off x="1895475" y="4429125"/>
          <a:ext cx="66675" cy="266700"/>
        </a:xfrm>
        <a:prstGeom prst="rightBrace">
          <a:avLst>
            <a:gd name="adj1" fmla="val 33333"/>
            <a:gd name="adj2" fmla="val 50000"/>
          </a:avLst>
        </a:prstGeom>
        <a:noFill/>
        <a:ln w="9525">
          <a:solidFill>
            <a:srgbClr val="993366"/>
          </a:solidFill>
          <a:round/>
          <a:headEnd/>
          <a:tailEnd/>
        </a:ln>
        <a:effectLst/>
      </xdr:spPr>
    </xdr:sp>
    <xdr:clientData/>
  </xdr:twoCellAnchor>
  <xdr:twoCellAnchor>
    <xdr:from>
      <xdr:col>1</xdr:col>
      <xdr:colOff>1257300</xdr:colOff>
      <xdr:row>22</xdr:row>
      <xdr:rowOff>66675</xdr:rowOff>
    </xdr:from>
    <xdr:to>
      <xdr:col>1</xdr:col>
      <xdr:colOff>1304925</xdr:colOff>
      <xdr:row>22</xdr:row>
      <xdr:rowOff>485775</xdr:rowOff>
    </xdr:to>
    <xdr:sp macro="" textlink="">
      <xdr:nvSpPr>
        <xdr:cNvPr id="5141" name="AutoShape 21"/>
        <xdr:cNvSpPr>
          <a:spLocks/>
        </xdr:cNvSpPr>
      </xdr:nvSpPr>
      <xdr:spPr bwMode="auto">
        <a:xfrm>
          <a:off x="2114550" y="5686425"/>
          <a:ext cx="47625" cy="419100"/>
        </a:xfrm>
        <a:prstGeom prst="rightBrace">
          <a:avLst>
            <a:gd name="adj1" fmla="val 73333"/>
            <a:gd name="adj2" fmla="val 50000"/>
          </a:avLst>
        </a:prstGeom>
        <a:noFill/>
        <a:ln w="9525">
          <a:solidFill>
            <a:srgbClr val="993366"/>
          </a:solidFill>
          <a:round/>
          <a:headEnd/>
          <a:tailEnd/>
        </a:ln>
        <a:effectLst/>
      </xdr:spPr>
    </xdr:sp>
    <xdr:clientData/>
  </xdr:twoCellAnchor>
  <xdr:twoCellAnchor>
    <xdr:from>
      <xdr:col>1</xdr:col>
      <xdr:colOff>1304926</xdr:colOff>
      <xdr:row>35</xdr:row>
      <xdr:rowOff>28575</xdr:rowOff>
    </xdr:from>
    <xdr:to>
      <xdr:col>1</xdr:col>
      <xdr:colOff>1381125</xdr:colOff>
      <xdr:row>36</xdr:row>
      <xdr:rowOff>0</xdr:rowOff>
    </xdr:to>
    <xdr:sp macro="" textlink="">
      <xdr:nvSpPr>
        <xdr:cNvPr id="5142" name="AutoShape 22"/>
        <xdr:cNvSpPr>
          <a:spLocks/>
        </xdr:cNvSpPr>
      </xdr:nvSpPr>
      <xdr:spPr bwMode="auto">
        <a:xfrm>
          <a:off x="2162176" y="9086850"/>
          <a:ext cx="76199" cy="323850"/>
        </a:xfrm>
        <a:prstGeom prst="rightBrace">
          <a:avLst>
            <a:gd name="adj1" fmla="val 28333"/>
            <a:gd name="adj2" fmla="val 51218"/>
          </a:avLst>
        </a:prstGeom>
        <a:noFill/>
        <a:ln w="9525">
          <a:solidFill>
            <a:srgbClr val="993366"/>
          </a:solidFill>
          <a:round/>
          <a:headEnd/>
          <a:tailEnd/>
        </a:ln>
        <a:effectLst/>
      </xdr:spPr>
    </xdr:sp>
    <xdr:clientData/>
  </xdr:twoCellAnchor>
  <xdr:twoCellAnchor>
    <xdr:from>
      <xdr:col>1</xdr:col>
      <xdr:colOff>1019175</xdr:colOff>
      <xdr:row>43</xdr:row>
      <xdr:rowOff>28575</xdr:rowOff>
    </xdr:from>
    <xdr:to>
      <xdr:col>1</xdr:col>
      <xdr:colOff>1123950</xdr:colOff>
      <xdr:row>43</xdr:row>
      <xdr:rowOff>323850</xdr:rowOff>
    </xdr:to>
    <xdr:sp macro="" textlink="">
      <xdr:nvSpPr>
        <xdr:cNvPr id="5143" name="AutoShape 23"/>
        <xdr:cNvSpPr>
          <a:spLocks/>
        </xdr:cNvSpPr>
      </xdr:nvSpPr>
      <xdr:spPr bwMode="auto">
        <a:xfrm>
          <a:off x="1876425" y="10706100"/>
          <a:ext cx="104775" cy="295275"/>
        </a:xfrm>
        <a:prstGeom prst="rightBrace">
          <a:avLst>
            <a:gd name="adj1" fmla="val 25833"/>
            <a:gd name="adj2" fmla="val 51218"/>
          </a:avLst>
        </a:prstGeom>
        <a:noFill/>
        <a:ln w="9525">
          <a:solidFill>
            <a:srgbClr val="993366"/>
          </a:solidFill>
          <a:round/>
          <a:headEnd/>
          <a:tailEnd/>
        </a:ln>
        <a:effectLst/>
      </xdr:spPr>
    </xdr:sp>
    <xdr:clientData/>
  </xdr:twoCellAnchor>
  <xdr:twoCellAnchor>
    <xdr:from>
      <xdr:col>1</xdr:col>
      <xdr:colOff>1009650</xdr:colOff>
      <xdr:row>47</xdr:row>
      <xdr:rowOff>28575</xdr:rowOff>
    </xdr:from>
    <xdr:to>
      <xdr:col>1</xdr:col>
      <xdr:colOff>1066800</xdr:colOff>
      <xdr:row>47</xdr:row>
      <xdr:rowOff>323850</xdr:rowOff>
    </xdr:to>
    <xdr:sp macro="" textlink="">
      <xdr:nvSpPr>
        <xdr:cNvPr id="5145" name="AutoShape 25"/>
        <xdr:cNvSpPr>
          <a:spLocks/>
        </xdr:cNvSpPr>
      </xdr:nvSpPr>
      <xdr:spPr bwMode="auto">
        <a:xfrm>
          <a:off x="1866900" y="12077700"/>
          <a:ext cx="57150" cy="295275"/>
        </a:xfrm>
        <a:prstGeom prst="rightBrace">
          <a:avLst>
            <a:gd name="adj1" fmla="val 25833"/>
            <a:gd name="adj2" fmla="val 51218"/>
          </a:avLst>
        </a:prstGeom>
        <a:noFill/>
        <a:ln w="9525">
          <a:solidFill>
            <a:srgbClr val="993366"/>
          </a:solidFill>
          <a:round/>
          <a:headEnd/>
          <a:tailEnd/>
        </a:ln>
        <a:effectLst/>
      </xdr:spPr>
    </xdr:sp>
    <xdr:clientData/>
  </xdr:twoCellAnchor>
  <xdr:twoCellAnchor>
    <xdr:from>
      <xdr:col>1</xdr:col>
      <xdr:colOff>1019176</xdr:colOff>
      <xdr:row>51</xdr:row>
      <xdr:rowOff>28575</xdr:rowOff>
    </xdr:from>
    <xdr:to>
      <xdr:col>1</xdr:col>
      <xdr:colOff>1114426</xdr:colOff>
      <xdr:row>51</xdr:row>
      <xdr:rowOff>323850</xdr:rowOff>
    </xdr:to>
    <xdr:sp macro="" textlink="">
      <xdr:nvSpPr>
        <xdr:cNvPr id="5146" name="AutoShape 26"/>
        <xdr:cNvSpPr>
          <a:spLocks/>
        </xdr:cNvSpPr>
      </xdr:nvSpPr>
      <xdr:spPr bwMode="auto">
        <a:xfrm>
          <a:off x="1876426" y="12925425"/>
          <a:ext cx="95250" cy="295275"/>
        </a:xfrm>
        <a:prstGeom prst="rightBrace">
          <a:avLst>
            <a:gd name="adj1" fmla="val 25833"/>
            <a:gd name="adj2" fmla="val 51218"/>
          </a:avLst>
        </a:prstGeom>
        <a:noFill/>
        <a:ln w="9525">
          <a:solidFill>
            <a:srgbClr val="993366"/>
          </a:solidFill>
          <a:round/>
          <a:headEnd/>
          <a:tailEnd/>
        </a:ln>
        <a:effectLst/>
      </xdr:spPr>
    </xdr:sp>
    <xdr:clientData/>
  </xdr:twoCellAnchor>
  <xdr:twoCellAnchor>
    <xdr:from>
      <xdr:col>1</xdr:col>
      <xdr:colOff>1278256</xdr:colOff>
      <xdr:row>21</xdr:row>
      <xdr:rowOff>38100</xdr:rowOff>
    </xdr:from>
    <xdr:to>
      <xdr:col>1</xdr:col>
      <xdr:colOff>1323975</xdr:colOff>
      <xdr:row>21</xdr:row>
      <xdr:rowOff>457200</xdr:rowOff>
    </xdr:to>
    <xdr:sp macro="" textlink="">
      <xdr:nvSpPr>
        <xdr:cNvPr id="18" name="AutoShape 21"/>
        <xdr:cNvSpPr>
          <a:spLocks/>
        </xdr:cNvSpPr>
      </xdr:nvSpPr>
      <xdr:spPr bwMode="auto">
        <a:xfrm>
          <a:off x="2135506" y="5181600"/>
          <a:ext cx="45719" cy="419100"/>
        </a:xfrm>
        <a:prstGeom prst="rightBrace">
          <a:avLst>
            <a:gd name="adj1" fmla="val 73333"/>
            <a:gd name="adj2" fmla="val 50000"/>
          </a:avLst>
        </a:prstGeom>
        <a:noFill/>
        <a:ln w="9525">
          <a:solidFill>
            <a:srgbClr val="993366"/>
          </a:solidFill>
          <a:round/>
          <a:headEnd/>
          <a:tailEnd/>
        </a:ln>
        <a:effectLst/>
      </xdr:spPr>
    </xdr:sp>
    <xdr:clientData/>
  </xdr:twoCellAnchor>
  <xdr:twoCellAnchor>
    <xdr:from>
      <xdr:col>1</xdr:col>
      <xdr:colOff>1323975</xdr:colOff>
      <xdr:row>25</xdr:row>
      <xdr:rowOff>47625</xdr:rowOff>
    </xdr:from>
    <xdr:to>
      <xdr:col>1</xdr:col>
      <xdr:colOff>1400175</xdr:colOff>
      <xdr:row>25</xdr:row>
      <xdr:rowOff>495300</xdr:rowOff>
    </xdr:to>
    <xdr:sp macro="" textlink="">
      <xdr:nvSpPr>
        <xdr:cNvPr id="19" name="AutoShape 11"/>
        <xdr:cNvSpPr>
          <a:spLocks/>
        </xdr:cNvSpPr>
      </xdr:nvSpPr>
      <xdr:spPr bwMode="auto">
        <a:xfrm>
          <a:off x="2181225" y="6791325"/>
          <a:ext cx="76200" cy="447675"/>
        </a:xfrm>
        <a:prstGeom prst="rightBrace">
          <a:avLst>
            <a:gd name="adj1" fmla="val 48958"/>
            <a:gd name="adj2" fmla="val 50000"/>
          </a:avLst>
        </a:prstGeom>
        <a:noFill/>
        <a:ln w="9525">
          <a:solidFill>
            <a:srgbClr val="993366"/>
          </a:solidFill>
          <a:round/>
          <a:headEnd/>
          <a:tailEnd/>
        </a:ln>
        <a:effectLst/>
      </xdr:spPr>
    </xdr:sp>
    <xdr:clientData/>
  </xdr:twoCellAnchor>
  <xdr:twoCellAnchor>
    <xdr:from>
      <xdr:col>1</xdr:col>
      <xdr:colOff>1285875</xdr:colOff>
      <xdr:row>37</xdr:row>
      <xdr:rowOff>0</xdr:rowOff>
    </xdr:from>
    <xdr:to>
      <xdr:col>1</xdr:col>
      <xdr:colOff>1362074</xdr:colOff>
      <xdr:row>37</xdr:row>
      <xdr:rowOff>323850</xdr:rowOff>
    </xdr:to>
    <xdr:sp macro="" textlink="">
      <xdr:nvSpPr>
        <xdr:cNvPr id="21" name="AutoShape 22"/>
        <xdr:cNvSpPr>
          <a:spLocks/>
        </xdr:cNvSpPr>
      </xdr:nvSpPr>
      <xdr:spPr bwMode="auto">
        <a:xfrm>
          <a:off x="2143125" y="9563100"/>
          <a:ext cx="76199" cy="323850"/>
        </a:xfrm>
        <a:prstGeom prst="rightBrace">
          <a:avLst>
            <a:gd name="adj1" fmla="val 28333"/>
            <a:gd name="adj2" fmla="val 51218"/>
          </a:avLst>
        </a:prstGeom>
        <a:noFill/>
        <a:ln w="9525">
          <a:solidFill>
            <a:srgbClr val="993366"/>
          </a:solidFill>
          <a:round/>
          <a:headEnd/>
          <a:tailEnd/>
        </a:ln>
        <a:effectLst/>
      </xdr:spPr>
    </xdr:sp>
    <xdr:clientData/>
  </xdr:twoCellAnchor>
  <xdr:twoCellAnchor>
    <xdr:from>
      <xdr:col>1</xdr:col>
      <xdr:colOff>1276350</xdr:colOff>
      <xdr:row>38</xdr:row>
      <xdr:rowOff>0</xdr:rowOff>
    </xdr:from>
    <xdr:to>
      <xdr:col>1</xdr:col>
      <xdr:colOff>1352549</xdr:colOff>
      <xdr:row>39</xdr:row>
      <xdr:rowOff>0</xdr:rowOff>
    </xdr:to>
    <xdr:sp macro="" textlink="">
      <xdr:nvSpPr>
        <xdr:cNvPr id="22" name="AutoShape 22"/>
        <xdr:cNvSpPr>
          <a:spLocks/>
        </xdr:cNvSpPr>
      </xdr:nvSpPr>
      <xdr:spPr bwMode="auto">
        <a:xfrm>
          <a:off x="2133600" y="9915525"/>
          <a:ext cx="76199" cy="323850"/>
        </a:xfrm>
        <a:prstGeom prst="rightBrace">
          <a:avLst>
            <a:gd name="adj1" fmla="val 28333"/>
            <a:gd name="adj2" fmla="val 51218"/>
          </a:avLst>
        </a:prstGeom>
        <a:noFill/>
        <a:ln w="9525">
          <a:solidFill>
            <a:srgbClr val="993366"/>
          </a:solidFill>
          <a:round/>
          <a:headEnd/>
          <a:tailEnd/>
        </a:ln>
        <a:effectLst/>
      </xdr:spPr>
    </xdr:sp>
    <xdr:clientData/>
  </xdr:twoCellAnchor>
  <xdr:twoCellAnchor>
    <xdr:from>
      <xdr:col>1</xdr:col>
      <xdr:colOff>1306830</xdr:colOff>
      <xdr:row>45</xdr:row>
      <xdr:rowOff>38100</xdr:rowOff>
    </xdr:from>
    <xdr:to>
      <xdr:col>2</xdr:col>
      <xdr:colOff>9525</xdr:colOff>
      <xdr:row>45</xdr:row>
      <xdr:rowOff>495300</xdr:rowOff>
    </xdr:to>
    <xdr:sp macro="" textlink="">
      <xdr:nvSpPr>
        <xdr:cNvPr id="23" name="AutoShape 25"/>
        <xdr:cNvSpPr>
          <a:spLocks/>
        </xdr:cNvSpPr>
      </xdr:nvSpPr>
      <xdr:spPr bwMode="auto">
        <a:xfrm>
          <a:off x="2164080" y="11401425"/>
          <a:ext cx="112395" cy="457200"/>
        </a:xfrm>
        <a:prstGeom prst="rightBrace">
          <a:avLst>
            <a:gd name="adj1" fmla="val 25833"/>
            <a:gd name="adj2" fmla="val 51218"/>
          </a:avLst>
        </a:prstGeom>
        <a:noFill/>
        <a:ln w="9525">
          <a:solidFill>
            <a:srgbClr val="993366"/>
          </a:solidFill>
          <a:round/>
          <a:headEnd/>
          <a:tailEnd/>
        </a:ln>
        <a:effectLst/>
      </xdr:spPr>
    </xdr:sp>
    <xdr:clientData/>
  </xdr:twoCellAnchor>
  <xdr:twoCellAnchor>
    <xdr:from>
      <xdr:col>1</xdr:col>
      <xdr:colOff>1238250</xdr:colOff>
      <xdr:row>46</xdr:row>
      <xdr:rowOff>19050</xdr:rowOff>
    </xdr:from>
    <xdr:to>
      <xdr:col>1</xdr:col>
      <xdr:colOff>1350645</xdr:colOff>
      <xdr:row>47</xdr:row>
      <xdr:rowOff>0</xdr:rowOff>
    </xdr:to>
    <xdr:sp macro="" textlink="">
      <xdr:nvSpPr>
        <xdr:cNvPr id="24" name="AutoShape 25"/>
        <xdr:cNvSpPr>
          <a:spLocks/>
        </xdr:cNvSpPr>
      </xdr:nvSpPr>
      <xdr:spPr bwMode="auto">
        <a:xfrm>
          <a:off x="2095500" y="11896725"/>
          <a:ext cx="112395" cy="457200"/>
        </a:xfrm>
        <a:prstGeom prst="rightBrace">
          <a:avLst>
            <a:gd name="adj1" fmla="val 25833"/>
            <a:gd name="adj2" fmla="val 51218"/>
          </a:avLst>
        </a:prstGeom>
        <a:noFill/>
        <a:ln w="9525">
          <a:solidFill>
            <a:srgbClr val="993366"/>
          </a:solidFill>
          <a:round/>
          <a:headEnd/>
          <a:tailEnd/>
        </a:ln>
        <a:effectLst/>
      </xdr:spPr>
    </xdr:sp>
    <xdr:clientData/>
  </xdr:twoCellAnchor>
  <xdr:twoCellAnchor>
    <xdr:from>
      <xdr:col>1</xdr:col>
      <xdr:colOff>1322067</xdr:colOff>
      <xdr:row>49</xdr:row>
      <xdr:rowOff>28575</xdr:rowOff>
    </xdr:from>
    <xdr:to>
      <xdr:col>1</xdr:col>
      <xdr:colOff>1400174</xdr:colOff>
      <xdr:row>49</xdr:row>
      <xdr:rowOff>323850</xdr:rowOff>
    </xdr:to>
    <xdr:sp macro="" textlink="">
      <xdr:nvSpPr>
        <xdr:cNvPr id="25" name="AutoShape 25"/>
        <xdr:cNvSpPr>
          <a:spLocks/>
        </xdr:cNvSpPr>
      </xdr:nvSpPr>
      <xdr:spPr bwMode="auto">
        <a:xfrm>
          <a:off x="2179317" y="12868275"/>
          <a:ext cx="78107" cy="295275"/>
        </a:xfrm>
        <a:prstGeom prst="rightBrace">
          <a:avLst>
            <a:gd name="adj1" fmla="val 25833"/>
            <a:gd name="adj2" fmla="val 51218"/>
          </a:avLst>
        </a:prstGeom>
        <a:noFill/>
        <a:ln w="9525">
          <a:solidFill>
            <a:srgbClr val="993366"/>
          </a:solidFill>
          <a:round/>
          <a:headEnd/>
          <a:tailEnd/>
        </a:ln>
        <a:effectLst/>
      </xdr:spPr>
      <xdr:txBody>
        <a:bodyPr/>
        <a:lstStyle/>
        <a:p>
          <a:endParaRPr lang="en-GB"/>
        </a:p>
      </xdr:txBody>
    </xdr:sp>
    <xdr:clientData/>
  </xdr:twoCellAnchor>
  <xdr:twoCellAnchor>
    <xdr:from>
      <xdr:col>1</xdr:col>
      <xdr:colOff>1162050</xdr:colOff>
      <xdr:row>53</xdr:row>
      <xdr:rowOff>47625</xdr:rowOff>
    </xdr:from>
    <xdr:to>
      <xdr:col>1</xdr:col>
      <xdr:colOff>1238250</xdr:colOff>
      <xdr:row>53</xdr:row>
      <xdr:rowOff>333375</xdr:rowOff>
    </xdr:to>
    <xdr:sp macro="" textlink="">
      <xdr:nvSpPr>
        <xdr:cNvPr id="26" name="AutoShape 16"/>
        <xdr:cNvSpPr>
          <a:spLocks/>
        </xdr:cNvSpPr>
      </xdr:nvSpPr>
      <xdr:spPr bwMode="auto">
        <a:xfrm>
          <a:off x="2019300" y="14201775"/>
          <a:ext cx="76200" cy="285750"/>
        </a:xfrm>
        <a:prstGeom prst="rightBrace">
          <a:avLst>
            <a:gd name="adj1" fmla="val 31250"/>
            <a:gd name="adj2" fmla="val 50000"/>
          </a:avLst>
        </a:prstGeom>
        <a:noFill/>
        <a:ln w="9525">
          <a:solidFill>
            <a:srgbClr val="000000"/>
          </a:solidFill>
          <a:round/>
          <a:headEnd/>
          <a:tailEnd/>
        </a:ln>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27</xdr:row>
      <xdr:rowOff>0</xdr:rowOff>
    </xdr:from>
    <xdr:to>
      <xdr:col>1</xdr:col>
      <xdr:colOff>333375</xdr:colOff>
      <xdr:row>29</xdr:row>
      <xdr:rowOff>38100</xdr:rowOff>
    </xdr:to>
    <xdr:sp macro="" textlink="">
      <xdr:nvSpPr>
        <xdr:cNvPr id="10248" name="AutoShape 8"/>
        <xdr:cNvSpPr>
          <a:spLocks/>
        </xdr:cNvSpPr>
      </xdr:nvSpPr>
      <xdr:spPr bwMode="auto">
        <a:xfrm>
          <a:off x="1562100" y="5400675"/>
          <a:ext cx="57150" cy="552450"/>
        </a:xfrm>
        <a:prstGeom prst="rightBrace">
          <a:avLst>
            <a:gd name="adj1" fmla="val 80556"/>
            <a:gd name="adj2" fmla="val 50000"/>
          </a:avLst>
        </a:prstGeom>
        <a:noFill/>
        <a:ln w="9525">
          <a:solidFill>
            <a:srgbClr val="000000"/>
          </a:solidFill>
          <a:round/>
          <a:headEnd/>
          <a:tailEnd/>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3</xdr:row>
      <xdr:rowOff>76200</xdr:rowOff>
    </xdr:from>
    <xdr:to>
      <xdr:col>8</xdr:col>
      <xdr:colOff>447675</xdr:colOff>
      <xdr:row>51</xdr:row>
      <xdr:rowOff>152400</xdr:rowOff>
    </xdr:to>
    <xdr:sp macro="" textlink="">
      <xdr:nvSpPr>
        <xdr:cNvPr id="21506" name="Homepage"/>
        <xdr:cNvSpPr>
          <a:spLocks noEditPoints="1" noChangeArrowheads="1"/>
        </xdr:cNvSpPr>
      </xdr:nvSpPr>
      <xdr:spPr bwMode="auto">
        <a:xfrm flipH="1">
          <a:off x="123825" y="561975"/>
          <a:ext cx="5200650" cy="784860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ctr" rtl="1">
            <a:defRPr sz="1000"/>
          </a:pPr>
          <a:r>
            <a:rPr lang="en-US" sz="3500" b="0" i="0" strike="noStrike">
              <a:solidFill>
                <a:srgbClr val="000000"/>
              </a:solidFill>
              <a:latin typeface="Times New Roman"/>
              <a:cs typeface="Times New Roman"/>
            </a:rPr>
            <a:t>BLOCK LEVEL </a:t>
          </a:r>
        </a:p>
        <a:p>
          <a:pPr algn="ctr" rtl="1">
            <a:defRPr sz="1000"/>
          </a:pPr>
          <a:r>
            <a:rPr lang="en-US" sz="3500" b="0" i="0" strike="noStrike">
              <a:solidFill>
                <a:srgbClr val="000000"/>
              </a:solidFill>
              <a:latin typeface="Times New Roman"/>
              <a:cs typeface="Times New Roman"/>
            </a:rPr>
            <a:t>STATISTICS</a:t>
          </a:r>
          <a:r>
            <a:rPr lang="en-US" sz="4000" b="0" i="0" strike="noStrike">
              <a:solidFill>
                <a:srgbClr val="000000"/>
              </a:solidFill>
              <a:latin typeface="Times New Roman"/>
              <a:cs typeface="Times New Roman"/>
            </a:rPr>
            <a:t> </a:t>
          </a:r>
        </a:p>
        <a:p>
          <a:pPr algn="ctr" rtl="1">
            <a:defRPr sz="1000"/>
          </a:pPr>
          <a:r>
            <a:rPr lang="en-US" sz="3500" b="1" i="0" strike="noStrike">
              <a:solidFill>
                <a:srgbClr val="000000"/>
              </a:solidFill>
              <a:latin typeface="Rockwell"/>
            </a:rPr>
            <a:t>2013-14</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16</xdr:row>
      <xdr:rowOff>0</xdr:rowOff>
    </xdr:from>
    <xdr:ext cx="76200" cy="200025"/>
    <xdr:sp macro="" textlink="">
      <xdr:nvSpPr>
        <xdr:cNvPr id="15361" name="Text Box 1"/>
        <xdr:cNvSpPr txBox="1">
          <a:spLocks noChangeArrowheads="1"/>
        </xdr:cNvSpPr>
      </xdr:nvSpPr>
      <xdr:spPr bwMode="auto">
        <a:xfrm>
          <a:off x="0" y="3124200"/>
          <a:ext cx="76200" cy="2000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ANDBOOK_2009_NBO1\PURULIA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Microsoft_Office_Word_97_-_2003_Document1.doc"/><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44"/>
  <dimension ref="A36:K57"/>
  <sheetViews>
    <sheetView tabSelected="1" workbookViewId="0">
      <selection activeCell="N15" sqref="N15"/>
    </sheetView>
  </sheetViews>
  <sheetFormatPr defaultRowHeight="12.75"/>
  <cols>
    <col min="7" max="7" width="9.28515625" customWidth="1"/>
  </cols>
  <sheetData>
    <row r="36" ht="27.75" customHeight="1"/>
    <row r="37" ht="12.75" customHeight="1"/>
    <row r="52" spans="1:11" ht="20.25">
      <c r="A52" s="1684" t="s">
        <v>478</v>
      </c>
      <c r="B52" s="1684"/>
      <c r="C52" s="1684"/>
      <c r="D52" s="1684"/>
      <c r="E52" s="1684"/>
      <c r="F52" s="1684"/>
      <c r="G52" s="1684"/>
      <c r="H52" s="1684"/>
      <c r="I52" s="1684"/>
    </row>
    <row r="53" spans="1:11" ht="23.25">
      <c r="A53" s="1685" t="s">
        <v>614</v>
      </c>
      <c r="B53" s="1685"/>
      <c r="C53" s="1685"/>
      <c r="D53" s="1685"/>
      <c r="E53" s="1685"/>
      <c r="F53" s="1685"/>
      <c r="G53" s="1685"/>
      <c r="H53" s="1685"/>
      <c r="I53" s="1685"/>
    </row>
    <row r="54" spans="1:11" ht="15.75">
      <c r="A54" s="1686" t="s">
        <v>479</v>
      </c>
      <c r="B54" s="1686"/>
      <c r="C54" s="1686"/>
      <c r="D54" s="1686"/>
      <c r="E54" s="1686"/>
      <c r="F54" s="1686"/>
      <c r="G54" s="1686"/>
      <c r="H54" s="1686"/>
      <c r="I54" s="1686"/>
    </row>
    <row r="56" spans="1:11" ht="23.25">
      <c r="J56" s="326"/>
      <c r="K56" s="326"/>
    </row>
    <row r="57" spans="1:11" ht="15.75">
      <c r="J57" s="327"/>
      <c r="K57" s="327"/>
    </row>
  </sheetData>
  <mergeCells count="3">
    <mergeCell ref="A52:I52"/>
    <mergeCell ref="A53:I53"/>
    <mergeCell ref="A54:I54"/>
  </mergeCells>
  <phoneticPr fontId="0" type="noConversion"/>
  <printOptions horizontalCentered="1"/>
  <pageMargins left="0.1" right="0.1" top="0.75" bottom="0.82" header="0.68" footer="0.5"/>
  <pageSetup paperSize="9" orientation="portrait" horizontalDpi="4294967295" verticalDpi="300" r:id="rId1"/>
  <headerFooter alignWithMargins="0"/>
  <drawing r:id="rId2"/>
  <legacyDrawing r:id="rId3"/>
  <oleObjects>
    <oleObject progId="CorelDRAW.Graphic.9" shapeId="6147" r:id="rId4"/>
  </oleObjects>
</worksheet>
</file>

<file path=xl/worksheets/sheet10.xml><?xml version="1.0" encoding="utf-8"?>
<worksheet xmlns="http://schemas.openxmlformats.org/spreadsheetml/2006/main" xmlns:r="http://schemas.openxmlformats.org/officeDocument/2006/relationships">
  <sheetPr codeName="Sheet9"/>
  <dimension ref="A1:G53"/>
  <sheetViews>
    <sheetView workbookViewId="0">
      <selection activeCell="J11" sqref="J11"/>
    </sheetView>
  </sheetViews>
  <sheetFormatPr defaultRowHeight="12.75"/>
  <cols>
    <col min="1" max="1" width="21.28515625" style="232" customWidth="1"/>
    <col min="2" max="3" width="12.7109375" style="335" customWidth="1"/>
    <col min="4" max="4" width="13.5703125" style="335" customWidth="1"/>
    <col min="5" max="5" width="17.7109375" style="1488" customWidth="1"/>
    <col min="6" max="16384" width="9.140625" style="232"/>
  </cols>
  <sheetData>
    <row r="1" spans="1:6">
      <c r="A1" s="1765" t="s">
        <v>1574</v>
      </c>
      <c r="B1" s="1765"/>
      <c r="C1" s="1765"/>
      <c r="D1" s="1765"/>
      <c r="E1" s="1765"/>
    </row>
    <row r="2" spans="1:6" ht="36" customHeight="1">
      <c r="A2" s="1766" t="str">
        <f>CONCATENATE("Area, Population and Density of Population 
in the district of ",District!$A$1,", 2011")</f>
        <v>Area, Population and Density of Population 
in the district of South 24-Parganas, 2011</v>
      </c>
      <c r="B2" s="1766"/>
      <c r="C2" s="1766"/>
      <c r="D2" s="1766"/>
      <c r="E2" s="1766"/>
    </row>
    <row r="3" spans="1:6" ht="42.75" customHeight="1">
      <c r="A3" s="782" t="s">
        <v>1698</v>
      </c>
      <c r="B3" s="631" t="s">
        <v>161</v>
      </c>
      <c r="C3" s="716" t="s">
        <v>517</v>
      </c>
      <c r="D3" s="631" t="s">
        <v>518</v>
      </c>
      <c r="E3" s="1260" t="s">
        <v>519</v>
      </c>
      <c r="F3" s="1483"/>
    </row>
    <row r="4" spans="1:6" ht="13.5" customHeight="1">
      <c r="A4" s="1361" t="s">
        <v>928</v>
      </c>
      <c r="B4" s="199" t="s">
        <v>929</v>
      </c>
      <c r="C4" s="119" t="s">
        <v>930</v>
      </c>
      <c r="D4" s="199" t="s">
        <v>931</v>
      </c>
      <c r="E4" s="1365" t="s">
        <v>932</v>
      </c>
    </row>
    <row r="5" spans="1:6" ht="15" customHeight="1">
      <c r="A5" s="603" t="s">
        <v>24</v>
      </c>
      <c r="B5" s="1176">
        <f>SUM(B6:B13)</f>
        <v>427.43</v>
      </c>
      <c r="C5" s="170">
        <f>SUM(C6:C13)</f>
        <v>1490342</v>
      </c>
      <c r="D5" s="193">
        <f>ROUND(C5/B5,0)</f>
        <v>3487</v>
      </c>
      <c r="E5" s="1038">
        <f t="shared" ref="E5:E25" si="0">ROUND(C5/$C$46*100,2)</f>
        <v>18.260000000000002</v>
      </c>
    </row>
    <row r="6" spans="1:6" ht="15" customHeight="1">
      <c r="A6" s="605" t="s">
        <v>757</v>
      </c>
      <c r="B6" s="503">
        <v>63.08</v>
      </c>
      <c r="C6" s="335">
        <v>176203</v>
      </c>
      <c r="D6" s="77">
        <f t="shared" ref="D6:D46" si="1">ROUND(C6/B6,0)</f>
        <v>2793</v>
      </c>
      <c r="E6" s="249">
        <f t="shared" si="0"/>
        <v>2.16</v>
      </c>
      <c r="F6" s="1484"/>
    </row>
    <row r="7" spans="1:6" ht="15" customHeight="1">
      <c r="A7" s="605" t="s">
        <v>1214</v>
      </c>
      <c r="B7" s="503">
        <v>116.36</v>
      </c>
      <c r="C7" s="335">
        <v>232365</v>
      </c>
      <c r="D7" s="77">
        <f t="shared" si="1"/>
        <v>1997</v>
      </c>
      <c r="E7" s="249">
        <f t="shared" si="0"/>
        <v>2.85</v>
      </c>
    </row>
    <row r="8" spans="1:6" ht="15" customHeight="1">
      <c r="A8" s="605" t="s">
        <v>1211</v>
      </c>
      <c r="B8" s="503">
        <v>81.709999999999994</v>
      </c>
      <c r="C8" s="335">
        <v>214531</v>
      </c>
      <c r="D8" s="77">
        <f t="shared" si="1"/>
        <v>2626</v>
      </c>
      <c r="E8" s="249">
        <f t="shared" si="0"/>
        <v>2.63</v>
      </c>
    </row>
    <row r="9" spans="1:6" ht="15" customHeight="1">
      <c r="A9" s="605" t="s">
        <v>1212</v>
      </c>
      <c r="B9" s="503">
        <v>26.55</v>
      </c>
      <c r="C9" s="335">
        <v>112908</v>
      </c>
      <c r="D9" s="77">
        <f t="shared" si="1"/>
        <v>4253</v>
      </c>
      <c r="E9" s="249">
        <f t="shared" si="0"/>
        <v>1.38</v>
      </c>
    </row>
    <row r="10" spans="1:6" ht="15" customHeight="1">
      <c r="A10" s="605" t="s">
        <v>1213</v>
      </c>
      <c r="B10" s="503">
        <v>78</v>
      </c>
      <c r="C10" s="335">
        <v>192134</v>
      </c>
      <c r="D10" s="77">
        <f t="shared" si="1"/>
        <v>2463</v>
      </c>
      <c r="E10" s="249">
        <f>ROUND(C10/$C$46*100,2)+0.01</f>
        <v>2.36</v>
      </c>
    </row>
    <row r="11" spans="1:6" ht="15" customHeight="1">
      <c r="A11" s="605" t="s">
        <v>1215</v>
      </c>
      <c r="B11" s="503">
        <v>9.06</v>
      </c>
      <c r="C11" s="335">
        <v>76837</v>
      </c>
      <c r="D11" s="77">
        <f t="shared" si="1"/>
        <v>8481</v>
      </c>
      <c r="E11" s="249">
        <f t="shared" si="0"/>
        <v>0.94</v>
      </c>
    </row>
    <row r="12" spans="1:6" ht="15" customHeight="1">
      <c r="A12" s="605" t="s">
        <v>1216</v>
      </c>
      <c r="B12" s="503">
        <v>44.18</v>
      </c>
      <c r="C12" s="335">
        <v>448317</v>
      </c>
      <c r="D12" s="77">
        <f t="shared" si="1"/>
        <v>10148</v>
      </c>
      <c r="E12" s="249">
        <f t="shared" si="0"/>
        <v>5.49</v>
      </c>
      <c r="F12" s="1485"/>
    </row>
    <row r="13" spans="1:6" ht="15" customHeight="1">
      <c r="A13" s="605" t="s">
        <v>1217</v>
      </c>
      <c r="B13" s="503">
        <v>8.49</v>
      </c>
      <c r="C13" s="335">
        <v>37047</v>
      </c>
      <c r="D13" s="77">
        <f t="shared" si="1"/>
        <v>4364</v>
      </c>
      <c r="E13" s="249">
        <f t="shared" si="0"/>
        <v>0.45</v>
      </c>
    </row>
    <row r="14" spans="1:6" ht="15" customHeight="1">
      <c r="A14" s="603" t="s">
        <v>314</v>
      </c>
      <c r="B14" s="1176">
        <f>SUM(B15:B24)</f>
        <v>1355.4399999999998</v>
      </c>
      <c r="C14" s="170">
        <f>SUM(C15:C24)</f>
        <v>2396646</v>
      </c>
      <c r="D14" s="193">
        <f t="shared" si="1"/>
        <v>1768</v>
      </c>
      <c r="E14" s="1038">
        <f t="shared" si="0"/>
        <v>29.36</v>
      </c>
    </row>
    <row r="15" spans="1:6" ht="15" customHeight="1">
      <c r="A15" s="605" t="s">
        <v>1218</v>
      </c>
      <c r="B15" s="503">
        <v>120.63</v>
      </c>
      <c r="C15" s="335">
        <v>219863</v>
      </c>
      <c r="D15" s="77">
        <f t="shared" si="1"/>
        <v>1823</v>
      </c>
      <c r="E15" s="249">
        <f t="shared" si="0"/>
        <v>2.69</v>
      </c>
    </row>
    <row r="16" spans="1:6" ht="15" customHeight="1">
      <c r="A16" s="604" t="s">
        <v>759</v>
      </c>
      <c r="B16" s="503">
        <v>131.01</v>
      </c>
      <c r="C16" s="335">
        <v>263151</v>
      </c>
      <c r="D16" s="77">
        <f t="shared" si="1"/>
        <v>2009</v>
      </c>
      <c r="E16" s="249">
        <f t="shared" si="0"/>
        <v>3.22</v>
      </c>
    </row>
    <row r="17" spans="1:5" ht="15" customHeight="1">
      <c r="A17" s="604" t="s">
        <v>760</v>
      </c>
      <c r="B17" s="503">
        <v>186.25</v>
      </c>
      <c r="C17" s="335">
        <v>252164</v>
      </c>
      <c r="D17" s="77">
        <f t="shared" si="1"/>
        <v>1354</v>
      </c>
      <c r="E17" s="249">
        <f t="shared" si="0"/>
        <v>3.09</v>
      </c>
    </row>
    <row r="18" spans="1:5" ht="15" customHeight="1">
      <c r="A18" s="604" t="s">
        <v>1194</v>
      </c>
      <c r="B18" s="503">
        <v>306.18</v>
      </c>
      <c r="C18" s="335">
        <v>229053</v>
      </c>
      <c r="D18" s="77">
        <f t="shared" si="1"/>
        <v>748</v>
      </c>
      <c r="E18" s="249">
        <f t="shared" si="0"/>
        <v>2.81</v>
      </c>
    </row>
    <row r="19" spans="1:5" ht="15" customHeight="1">
      <c r="A19" s="604" t="s">
        <v>1221</v>
      </c>
      <c r="B19" s="503">
        <v>226.16</v>
      </c>
      <c r="C19" s="335">
        <v>433119</v>
      </c>
      <c r="D19" s="77">
        <f t="shared" si="1"/>
        <v>1915</v>
      </c>
      <c r="E19" s="249">
        <f t="shared" si="0"/>
        <v>5.31</v>
      </c>
    </row>
    <row r="20" spans="1:5" ht="15" customHeight="1">
      <c r="A20" s="604" t="s">
        <v>761</v>
      </c>
      <c r="B20" s="503">
        <v>153.62</v>
      </c>
      <c r="C20" s="335">
        <v>249170</v>
      </c>
      <c r="D20" s="77">
        <f t="shared" si="1"/>
        <v>1622</v>
      </c>
      <c r="E20" s="249">
        <f t="shared" si="0"/>
        <v>3.05</v>
      </c>
    </row>
    <row r="21" spans="1:5" ht="15" customHeight="1">
      <c r="A21" s="150" t="s">
        <v>762</v>
      </c>
      <c r="B21" s="503">
        <v>162.04</v>
      </c>
      <c r="C21" s="335">
        <v>246708</v>
      </c>
      <c r="D21" s="77">
        <f t="shared" si="1"/>
        <v>1523</v>
      </c>
      <c r="E21" s="249">
        <f t="shared" si="0"/>
        <v>3.02</v>
      </c>
    </row>
    <row r="22" spans="1:5" ht="15" customHeight="1">
      <c r="A22" s="604" t="s">
        <v>836</v>
      </c>
      <c r="B22" s="503">
        <v>5.18</v>
      </c>
      <c r="C22" s="335">
        <v>25922</v>
      </c>
      <c r="D22" s="77">
        <f t="shared" si="1"/>
        <v>5004</v>
      </c>
      <c r="E22" s="249">
        <f t="shared" si="0"/>
        <v>0.32</v>
      </c>
    </row>
    <row r="23" spans="1:5" ht="15" customHeight="1">
      <c r="A23" s="604" t="s">
        <v>1222</v>
      </c>
      <c r="B23" s="503">
        <v>9.07</v>
      </c>
      <c r="C23" s="335">
        <v>53128</v>
      </c>
      <c r="D23" s="77">
        <f t="shared" si="1"/>
        <v>5858</v>
      </c>
      <c r="E23" s="249">
        <f t="shared" si="0"/>
        <v>0.65</v>
      </c>
    </row>
    <row r="24" spans="1:5" ht="15" customHeight="1">
      <c r="A24" s="604" t="s">
        <v>1736</v>
      </c>
      <c r="B24" s="503">
        <v>55.3</v>
      </c>
      <c r="C24" s="335">
        <v>424368</v>
      </c>
      <c r="D24" s="77">
        <f t="shared" si="1"/>
        <v>7674</v>
      </c>
      <c r="E24" s="249">
        <f t="shared" si="0"/>
        <v>5.2</v>
      </c>
    </row>
    <row r="25" spans="1:5" ht="15" customHeight="1">
      <c r="A25" s="216" t="s">
        <v>315</v>
      </c>
      <c r="B25" s="1176">
        <f>SUM(B26:B29)</f>
        <v>1103.73</v>
      </c>
      <c r="C25" s="170">
        <f>SUM(C26:C29)</f>
        <v>1140562</v>
      </c>
      <c r="D25" s="193">
        <f t="shared" si="1"/>
        <v>1033</v>
      </c>
      <c r="E25" s="1038">
        <f t="shared" si="0"/>
        <v>13.97</v>
      </c>
    </row>
    <row r="26" spans="1:5" ht="15" customHeight="1">
      <c r="A26" s="604" t="s">
        <v>1223</v>
      </c>
      <c r="B26" s="371">
        <v>187.86</v>
      </c>
      <c r="C26" s="335">
        <v>304724</v>
      </c>
      <c r="D26" s="77">
        <f t="shared" si="1"/>
        <v>1622</v>
      </c>
      <c r="E26" s="249">
        <f t="shared" ref="E26:E46" si="2">ROUND(C26/$C$46*100,2)</f>
        <v>3.73</v>
      </c>
    </row>
    <row r="27" spans="1:5" ht="15" customHeight="1">
      <c r="A27" s="604" t="s">
        <v>1224</v>
      </c>
      <c r="B27" s="371">
        <v>214.93</v>
      </c>
      <c r="C27" s="335">
        <v>252523</v>
      </c>
      <c r="D27" s="77">
        <f t="shared" si="1"/>
        <v>1175</v>
      </c>
      <c r="E27" s="249">
        <f t="shared" si="2"/>
        <v>3.09</v>
      </c>
    </row>
    <row r="28" spans="1:5" ht="15" customHeight="1">
      <c r="A28" s="604" t="s">
        <v>1197</v>
      </c>
      <c r="B28" s="371">
        <v>404.21</v>
      </c>
      <c r="C28" s="335">
        <v>336717</v>
      </c>
      <c r="D28" s="77">
        <f t="shared" si="1"/>
        <v>833</v>
      </c>
      <c r="E28" s="249">
        <f t="shared" si="2"/>
        <v>4.13</v>
      </c>
    </row>
    <row r="29" spans="1:5" ht="15" customHeight="1">
      <c r="A29" s="604" t="s">
        <v>1198</v>
      </c>
      <c r="B29" s="371">
        <v>296.73</v>
      </c>
      <c r="C29" s="335">
        <v>246598</v>
      </c>
      <c r="D29" s="77">
        <f t="shared" si="1"/>
        <v>831</v>
      </c>
      <c r="E29" s="249">
        <f t="shared" si="2"/>
        <v>3.02</v>
      </c>
    </row>
    <row r="30" spans="1:5" ht="26.25" customHeight="1">
      <c r="A30" s="217" t="s">
        <v>447</v>
      </c>
      <c r="B30" s="1176">
        <f>SUM(B31:B40)</f>
        <v>1264.68</v>
      </c>
      <c r="C30" s="170">
        <f>SUM(C31:C40)</f>
        <v>2125758</v>
      </c>
      <c r="D30" s="193">
        <f t="shared" si="1"/>
        <v>1681</v>
      </c>
      <c r="E30" s="1038">
        <f>ROUND(C30/$C$46*100,2)+0.01</f>
        <v>26.05</v>
      </c>
    </row>
    <row r="31" spans="1:5" ht="15" customHeight="1">
      <c r="A31" s="604" t="s">
        <v>1225</v>
      </c>
      <c r="B31" s="503">
        <v>119.04</v>
      </c>
      <c r="C31" s="335">
        <v>269494</v>
      </c>
      <c r="D31" s="77">
        <f t="shared" si="1"/>
        <v>2264</v>
      </c>
      <c r="E31" s="249">
        <f t="shared" si="2"/>
        <v>3.3</v>
      </c>
    </row>
    <row r="32" spans="1:5" ht="15" customHeight="1">
      <c r="A32" s="604" t="s">
        <v>1226</v>
      </c>
      <c r="B32" s="503">
        <v>136.93</v>
      </c>
      <c r="C32" s="335">
        <v>304744</v>
      </c>
      <c r="D32" s="77">
        <f t="shared" si="1"/>
        <v>2226</v>
      </c>
      <c r="E32" s="249">
        <f>ROUND(C32/$C$46*100,2)+0.01</f>
        <v>3.7399999999999998</v>
      </c>
    </row>
    <row r="33" spans="1:6" ht="15" customHeight="1">
      <c r="A33" s="604" t="s">
        <v>837</v>
      </c>
      <c r="B33" s="503">
        <v>118.07</v>
      </c>
      <c r="C33" s="335">
        <v>214050</v>
      </c>
      <c r="D33" s="77">
        <f t="shared" si="1"/>
        <v>1813</v>
      </c>
      <c r="E33" s="249">
        <f>ROUND(C33/$C$46*100,2)</f>
        <v>2.62</v>
      </c>
    </row>
    <row r="34" spans="1:6" ht="15" customHeight="1">
      <c r="A34" s="604" t="s">
        <v>1203</v>
      </c>
      <c r="B34" s="503">
        <v>210.83</v>
      </c>
      <c r="C34" s="335">
        <v>283197</v>
      </c>
      <c r="D34" s="77">
        <f t="shared" si="1"/>
        <v>1343</v>
      </c>
      <c r="E34" s="249">
        <f>ROUND(C34/$C$46*100,2)+0.01</f>
        <v>3.48</v>
      </c>
    </row>
    <row r="35" spans="1:6" ht="15" customHeight="1">
      <c r="A35" s="604" t="s">
        <v>1204</v>
      </c>
      <c r="B35" s="503">
        <v>130.68</v>
      </c>
      <c r="C35" s="335">
        <v>249561</v>
      </c>
      <c r="D35" s="77">
        <f t="shared" si="1"/>
        <v>1910</v>
      </c>
      <c r="E35" s="249">
        <f t="shared" si="2"/>
        <v>3.06</v>
      </c>
    </row>
    <row r="36" spans="1:6" ht="15" customHeight="1">
      <c r="A36" s="604" t="s">
        <v>1744</v>
      </c>
      <c r="B36" s="503">
        <v>68.430000000000007</v>
      </c>
      <c r="C36" s="335">
        <v>156166</v>
      </c>
      <c r="D36" s="77">
        <f t="shared" si="1"/>
        <v>2282</v>
      </c>
      <c r="E36" s="249">
        <f t="shared" si="2"/>
        <v>1.91</v>
      </c>
    </row>
    <row r="37" spans="1:6" ht="15" customHeight="1">
      <c r="A37" s="604" t="s">
        <v>1745</v>
      </c>
      <c r="B37" s="503">
        <v>95.59</v>
      </c>
      <c r="C37" s="335">
        <v>190801</v>
      </c>
      <c r="D37" s="77">
        <f t="shared" si="1"/>
        <v>1996</v>
      </c>
      <c r="E37" s="249">
        <f t="shared" si="2"/>
        <v>2.34</v>
      </c>
    </row>
    <row r="38" spans="1:6" ht="15" customHeight="1">
      <c r="A38" s="604" t="s">
        <v>1227</v>
      </c>
      <c r="B38" s="503">
        <v>147.30000000000001</v>
      </c>
      <c r="C38" s="335">
        <v>195104</v>
      </c>
      <c r="D38" s="77">
        <f t="shared" si="1"/>
        <v>1325</v>
      </c>
      <c r="E38" s="249">
        <f t="shared" si="2"/>
        <v>2.39</v>
      </c>
    </row>
    <row r="39" spans="1:6" ht="15" customHeight="1">
      <c r="A39" s="604" t="s">
        <v>1228</v>
      </c>
      <c r="B39" s="503">
        <v>227.45</v>
      </c>
      <c r="C39" s="335">
        <v>220839</v>
      </c>
      <c r="D39" s="77">
        <f t="shared" si="1"/>
        <v>971</v>
      </c>
      <c r="E39" s="249">
        <f>ROUND(C39/$C$46*100,2)-0.01</f>
        <v>2.7</v>
      </c>
    </row>
    <row r="40" spans="1:6" ht="15" customHeight="1">
      <c r="A40" s="604" t="s">
        <v>863</v>
      </c>
      <c r="B40" s="503">
        <v>10.36</v>
      </c>
      <c r="C40" s="335">
        <v>41802</v>
      </c>
      <c r="D40" s="77">
        <f t="shared" si="1"/>
        <v>4035</v>
      </c>
      <c r="E40" s="249">
        <f t="shared" si="2"/>
        <v>0.51</v>
      </c>
    </row>
    <row r="41" spans="1:6" ht="15" customHeight="1">
      <c r="A41" s="402" t="s">
        <v>317</v>
      </c>
      <c r="B41" s="1176">
        <f>SUM(B42:B45)</f>
        <v>1389.93</v>
      </c>
      <c r="C41" s="170">
        <f>SUM(C42:C45)</f>
        <v>1008653</v>
      </c>
      <c r="D41" s="193">
        <f t="shared" si="1"/>
        <v>726</v>
      </c>
      <c r="E41" s="1038">
        <f t="shared" si="2"/>
        <v>12.36</v>
      </c>
      <c r="F41" s="1485"/>
    </row>
    <row r="42" spans="1:6" ht="15" customHeight="1">
      <c r="A42" s="604" t="s">
        <v>1205</v>
      </c>
      <c r="B42" s="503">
        <v>252.74</v>
      </c>
      <c r="C42" s="335">
        <v>281963</v>
      </c>
      <c r="D42" s="77">
        <f t="shared" si="1"/>
        <v>1116</v>
      </c>
      <c r="E42" s="249">
        <f t="shared" si="2"/>
        <v>3.45</v>
      </c>
    </row>
    <row r="43" spans="1:6" ht="15" customHeight="1">
      <c r="A43" s="604" t="s">
        <v>1206</v>
      </c>
      <c r="B43" s="503">
        <v>370.61</v>
      </c>
      <c r="C43" s="335">
        <v>182830</v>
      </c>
      <c r="D43" s="77">
        <f t="shared" si="1"/>
        <v>493</v>
      </c>
      <c r="E43" s="249">
        <f t="shared" si="2"/>
        <v>2.2400000000000002</v>
      </c>
    </row>
    <row r="44" spans="1:6" ht="15" customHeight="1">
      <c r="A44" s="604" t="s">
        <v>1207</v>
      </c>
      <c r="B44" s="503">
        <v>282.11</v>
      </c>
      <c r="C44" s="335">
        <v>212037</v>
      </c>
      <c r="D44" s="77">
        <f t="shared" si="1"/>
        <v>752</v>
      </c>
      <c r="E44" s="249">
        <f t="shared" si="2"/>
        <v>2.6</v>
      </c>
    </row>
    <row r="45" spans="1:6" ht="15" customHeight="1">
      <c r="A45" s="729" t="s">
        <v>1208</v>
      </c>
      <c r="B45" s="731">
        <v>484.47</v>
      </c>
      <c r="C45" s="335">
        <v>331823</v>
      </c>
      <c r="D45" s="77">
        <f t="shared" si="1"/>
        <v>685</v>
      </c>
      <c r="E45" s="259">
        <f t="shared" si="2"/>
        <v>4.07</v>
      </c>
      <c r="F45" s="1484"/>
    </row>
    <row r="46" spans="1:6" ht="14.25" customHeight="1">
      <c r="A46" s="1324" t="s">
        <v>1653</v>
      </c>
      <c r="B46" s="1366">
        <v>9960</v>
      </c>
      <c r="C46" s="1460">
        <f>SUM(C41,C30,C25,C14,C5)</f>
        <v>8161961</v>
      </c>
      <c r="D46" s="1461">
        <f t="shared" si="1"/>
        <v>819</v>
      </c>
      <c r="E46" s="1462">
        <f t="shared" si="2"/>
        <v>100</v>
      </c>
    </row>
    <row r="47" spans="1:6" ht="12.75" customHeight="1">
      <c r="A47" s="1767" t="s">
        <v>737</v>
      </c>
      <c r="B47" s="1767"/>
      <c r="C47" s="1767"/>
      <c r="D47" s="1486"/>
      <c r="E47" s="1162" t="s">
        <v>1482</v>
      </c>
    </row>
    <row r="48" spans="1:6">
      <c r="A48" s="1768"/>
      <c r="B48" s="1768"/>
      <c r="C48" s="1768"/>
      <c r="D48" s="1487"/>
    </row>
    <row r="49" spans="1:7">
      <c r="A49" s="1547" t="s">
        <v>1232</v>
      </c>
    </row>
    <row r="50" spans="1:7">
      <c r="C50" s="29"/>
    </row>
    <row r="53" spans="1:7">
      <c r="F53" s="335"/>
      <c r="G53" s="335"/>
    </row>
  </sheetData>
  <mergeCells count="3">
    <mergeCell ref="A1:E1"/>
    <mergeCell ref="A2:E2"/>
    <mergeCell ref="A47:C48"/>
  </mergeCells>
  <phoneticPr fontId="0" type="noConversion"/>
  <printOptions horizontalCentered="1"/>
  <pageMargins left="0.1" right="0.1" top="0.52" bottom="0.1" header="0.22" footer="0.1"/>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sheetPr codeName="Sheet10"/>
  <dimension ref="A1:K22"/>
  <sheetViews>
    <sheetView topLeftCell="A16" workbookViewId="0">
      <selection activeCell="J11" sqref="J11"/>
    </sheetView>
  </sheetViews>
  <sheetFormatPr defaultRowHeight="12.75"/>
  <cols>
    <col min="1" max="1" width="16.7109375" customWidth="1"/>
    <col min="2" max="2" width="14.5703125" customWidth="1"/>
    <col min="3" max="3" width="14.7109375" customWidth="1"/>
    <col min="4" max="5" width="13.28515625" customWidth="1"/>
    <col min="6" max="6" width="13.7109375" customWidth="1"/>
    <col min="7" max="8" width="15" customWidth="1"/>
    <col min="9" max="9" width="16.42578125" customWidth="1"/>
  </cols>
  <sheetData>
    <row r="1" spans="1:11" ht="15.75" customHeight="1">
      <c r="A1" s="1708" t="s">
        <v>1823</v>
      </c>
      <c r="B1" s="1708"/>
      <c r="C1" s="1708"/>
      <c r="D1" s="1708"/>
      <c r="E1" s="1708"/>
      <c r="F1" s="1708"/>
      <c r="G1" s="1708"/>
      <c r="H1" s="1708"/>
      <c r="I1" s="1708"/>
    </row>
    <row r="2" spans="1:11" ht="18.75" customHeight="1">
      <c r="A2" s="1730" t="str">
        <f>CONCATENATE("Growth of Population by sex on different Census years in the district of ",District!$A$1)</f>
        <v>Growth of Population by sex on different Census years in the district of South 24-Parganas</v>
      </c>
      <c r="B2" s="1730"/>
      <c r="C2" s="1730"/>
      <c r="D2" s="1730"/>
      <c r="E2" s="1730"/>
      <c r="F2" s="1730"/>
      <c r="G2" s="1730"/>
      <c r="H2" s="1730"/>
      <c r="I2" s="1730"/>
    </row>
    <row r="3" spans="1:11">
      <c r="B3" s="7"/>
      <c r="C3" s="7"/>
      <c r="D3" s="3"/>
      <c r="E3" s="3"/>
      <c r="F3" s="7"/>
      <c r="I3" s="92" t="s">
        <v>1454</v>
      </c>
    </row>
    <row r="4" spans="1:11" ht="41.25" customHeight="1">
      <c r="A4" s="832" t="s">
        <v>671</v>
      </c>
      <c r="B4" s="252" t="s">
        <v>531</v>
      </c>
      <c r="C4" s="909" t="s">
        <v>1002</v>
      </c>
      <c r="D4" s="252" t="s">
        <v>532</v>
      </c>
      <c r="E4" s="909" t="s">
        <v>533</v>
      </c>
      <c r="F4" s="252" t="s">
        <v>736</v>
      </c>
      <c r="G4" s="909" t="s">
        <v>335</v>
      </c>
      <c r="H4" s="252" t="s">
        <v>530</v>
      </c>
      <c r="I4" s="694" t="s">
        <v>77</v>
      </c>
    </row>
    <row r="5" spans="1:11" ht="18" customHeight="1">
      <c r="A5" s="118" t="s">
        <v>928</v>
      </c>
      <c r="B5" s="199" t="s">
        <v>929</v>
      </c>
      <c r="C5" s="119" t="s">
        <v>930</v>
      </c>
      <c r="D5" s="199" t="s">
        <v>931</v>
      </c>
      <c r="E5" s="119" t="s">
        <v>932</v>
      </c>
      <c r="F5" s="199" t="s">
        <v>933</v>
      </c>
      <c r="G5" s="119" t="s">
        <v>934</v>
      </c>
      <c r="H5" s="199" t="s">
        <v>959</v>
      </c>
      <c r="I5" s="120" t="s">
        <v>960</v>
      </c>
    </row>
    <row r="6" spans="1:11" ht="27.75" customHeight="1">
      <c r="A6" s="299">
        <v>1901</v>
      </c>
      <c r="B6" s="85">
        <v>2143160</v>
      </c>
      <c r="C6" s="335">
        <f t="shared" ref="C6:C13" si="0">ROUND(B6/$B$6*100,0)</f>
        <v>100</v>
      </c>
      <c r="D6" s="85">
        <v>1117332</v>
      </c>
      <c r="E6" s="335">
        <f>B6-D6</f>
        <v>1025828</v>
      </c>
      <c r="F6" s="77">
        <f>ROUND(E6/D6*100,0)</f>
        <v>92</v>
      </c>
      <c r="G6" s="318">
        <v>312172</v>
      </c>
      <c r="H6" s="77">
        <f>B6-G6</f>
        <v>1830988</v>
      </c>
      <c r="I6" s="249">
        <f>ROUND(H6/B6*100,2)</f>
        <v>85.43</v>
      </c>
    </row>
    <row r="7" spans="1:11" ht="27.75" customHeight="1">
      <c r="A7" s="299">
        <v>1911</v>
      </c>
      <c r="B7" s="85">
        <v>2459902</v>
      </c>
      <c r="C7" s="335">
        <f t="shared" si="0"/>
        <v>115</v>
      </c>
      <c r="D7" s="85">
        <v>1307893</v>
      </c>
      <c r="E7" s="335">
        <f t="shared" ref="E7:E17" si="1">B7-D7</f>
        <v>1152009</v>
      </c>
      <c r="F7" s="77">
        <f t="shared" ref="F7:F17" si="2">ROUND(E7/D7*100,0)</f>
        <v>88</v>
      </c>
      <c r="G7" s="318">
        <v>428136</v>
      </c>
      <c r="H7" s="77">
        <f>B7-G7</f>
        <v>2031766</v>
      </c>
      <c r="I7" s="249">
        <f t="shared" ref="I7:I17" si="3">ROUND(H7/B7*100,2)</f>
        <v>82.6</v>
      </c>
    </row>
    <row r="8" spans="1:11" ht="27.75" customHeight="1">
      <c r="A8" s="299">
        <v>1921</v>
      </c>
      <c r="B8" s="85">
        <v>2615073</v>
      </c>
      <c r="C8" s="335">
        <f t="shared" si="0"/>
        <v>122</v>
      </c>
      <c r="D8" s="85">
        <v>1409572</v>
      </c>
      <c r="E8" s="335">
        <f t="shared" si="1"/>
        <v>1205501</v>
      </c>
      <c r="F8" s="77">
        <f t="shared" si="2"/>
        <v>86</v>
      </c>
      <c r="G8" s="318">
        <v>484404</v>
      </c>
      <c r="H8" s="77">
        <f>B8-G8</f>
        <v>2130669</v>
      </c>
      <c r="I8" s="249">
        <f t="shared" si="3"/>
        <v>81.48</v>
      </c>
    </row>
    <row r="9" spans="1:11" ht="27.75" customHeight="1">
      <c r="A9" s="299">
        <v>1931</v>
      </c>
      <c r="B9" s="85">
        <v>2864218</v>
      </c>
      <c r="C9" s="335">
        <f t="shared" si="0"/>
        <v>134</v>
      </c>
      <c r="D9" s="85">
        <v>1549057</v>
      </c>
      <c r="E9" s="335">
        <f t="shared" si="1"/>
        <v>1315161</v>
      </c>
      <c r="F9" s="77">
        <f t="shared" si="2"/>
        <v>85</v>
      </c>
      <c r="G9" s="318">
        <v>570005</v>
      </c>
      <c r="H9" s="77">
        <f t="shared" ref="H9:H17" si="4">B9-G9</f>
        <v>2294213</v>
      </c>
      <c r="I9" s="249">
        <f t="shared" si="3"/>
        <v>80.099999999999994</v>
      </c>
    </row>
    <row r="10" spans="1:11" ht="27.75" customHeight="1">
      <c r="A10" s="299">
        <v>1941</v>
      </c>
      <c r="B10" s="85">
        <v>3610896</v>
      </c>
      <c r="C10" s="335">
        <f t="shared" si="0"/>
        <v>168</v>
      </c>
      <c r="D10" s="85">
        <v>1977485</v>
      </c>
      <c r="E10" s="335">
        <f t="shared" si="1"/>
        <v>1633411</v>
      </c>
      <c r="F10" s="77">
        <f t="shared" si="2"/>
        <v>83</v>
      </c>
      <c r="G10" s="318">
        <v>813467</v>
      </c>
      <c r="H10" s="77">
        <f t="shared" si="4"/>
        <v>2797429</v>
      </c>
      <c r="I10" s="249">
        <f t="shared" si="3"/>
        <v>77.47</v>
      </c>
    </row>
    <row r="11" spans="1:11" ht="27.75" customHeight="1">
      <c r="A11" s="299">
        <v>1951</v>
      </c>
      <c r="B11" s="85">
        <v>4459492</v>
      </c>
      <c r="C11" s="335">
        <f t="shared" si="0"/>
        <v>208</v>
      </c>
      <c r="D11" s="85">
        <v>2415482</v>
      </c>
      <c r="E11" s="335">
        <f t="shared" si="1"/>
        <v>2044010</v>
      </c>
      <c r="F11" s="77">
        <f t="shared" si="2"/>
        <v>85</v>
      </c>
      <c r="G11" s="318">
        <v>1216152</v>
      </c>
      <c r="H11" s="77">
        <f t="shared" si="4"/>
        <v>3243340</v>
      </c>
      <c r="I11" s="249">
        <f t="shared" si="3"/>
        <v>72.73</v>
      </c>
    </row>
    <row r="12" spans="1:11" ht="27.75" customHeight="1">
      <c r="A12" s="299">
        <v>1961</v>
      </c>
      <c r="B12" s="85">
        <v>6280915</v>
      </c>
      <c r="C12" s="335">
        <f t="shared" si="0"/>
        <v>293</v>
      </c>
      <c r="D12" s="85">
        <v>3366805</v>
      </c>
      <c r="E12" s="335">
        <f t="shared" si="1"/>
        <v>2914110</v>
      </c>
      <c r="F12" s="77">
        <f t="shared" si="2"/>
        <v>87</v>
      </c>
      <c r="G12" s="318">
        <v>1997957</v>
      </c>
      <c r="H12" s="77">
        <f t="shared" si="4"/>
        <v>4282958</v>
      </c>
      <c r="I12" s="249">
        <f t="shared" si="3"/>
        <v>68.19</v>
      </c>
      <c r="K12" s="139"/>
    </row>
    <row r="13" spans="1:11" ht="27.75" customHeight="1">
      <c r="A13" s="299">
        <v>1971</v>
      </c>
      <c r="B13" s="85">
        <v>8449482</v>
      </c>
      <c r="C13" s="335">
        <f t="shared" si="0"/>
        <v>394</v>
      </c>
      <c r="D13" s="85">
        <v>4488441</v>
      </c>
      <c r="E13" s="335">
        <f t="shared" si="1"/>
        <v>3961041</v>
      </c>
      <c r="F13" s="77">
        <f t="shared" si="2"/>
        <v>88</v>
      </c>
      <c r="G13" s="318">
        <v>2970320</v>
      </c>
      <c r="H13" s="77">
        <f t="shared" si="4"/>
        <v>5479162</v>
      </c>
      <c r="I13" s="249">
        <f t="shared" si="3"/>
        <v>64.849999999999994</v>
      </c>
    </row>
    <row r="14" spans="1:11" ht="27.75" customHeight="1">
      <c r="A14" s="299">
        <v>1981</v>
      </c>
      <c r="B14" s="85">
        <v>5209942</v>
      </c>
      <c r="C14" s="335">
        <f>ROUND(B14/$B$14*100,0)</f>
        <v>100</v>
      </c>
      <c r="D14" s="85">
        <v>2718109</v>
      </c>
      <c r="E14" s="335">
        <f t="shared" si="1"/>
        <v>2491833</v>
      </c>
      <c r="F14" s="77">
        <f t="shared" si="2"/>
        <v>92</v>
      </c>
      <c r="G14" s="318">
        <v>1348116</v>
      </c>
      <c r="H14" s="77">
        <f t="shared" si="4"/>
        <v>3861826</v>
      </c>
      <c r="I14" s="249">
        <f t="shared" si="3"/>
        <v>74.12</v>
      </c>
    </row>
    <row r="15" spans="1:11" ht="27.75" customHeight="1">
      <c r="A15" s="299">
        <v>1991</v>
      </c>
      <c r="B15" s="85">
        <v>5715030</v>
      </c>
      <c r="C15" s="335">
        <f>ROUND(B15/$B$14*100,0)</f>
        <v>110</v>
      </c>
      <c r="D15" s="85">
        <v>2962214</v>
      </c>
      <c r="E15" s="335">
        <f t="shared" si="1"/>
        <v>2752816</v>
      </c>
      <c r="F15" s="77">
        <f t="shared" si="2"/>
        <v>93</v>
      </c>
      <c r="G15" s="318">
        <v>760377</v>
      </c>
      <c r="H15" s="77">
        <f t="shared" si="4"/>
        <v>4954653</v>
      </c>
      <c r="I15" s="249">
        <f t="shared" si="3"/>
        <v>86.7</v>
      </c>
    </row>
    <row r="16" spans="1:11" ht="27.75" customHeight="1">
      <c r="A16" s="299">
        <v>2001</v>
      </c>
      <c r="B16" s="84">
        <v>6906689</v>
      </c>
      <c r="C16" s="261">
        <f>ROUND(B16/$B$14*100,0)</f>
        <v>133</v>
      </c>
      <c r="D16" s="84">
        <v>3564993</v>
      </c>
      <c r="E16" s="77">
        <f t="shared" si="1"/>
        <v>3341696</v>
      </c>
      <c r="F16" s="77">
        <f t="shared" si="2"/>
        <v>94</v>
      </c>
      <c r="G16" s="79">
        <v>1086220</v>
      </c>
      <c r="H16" s="77">
        <f t="shared" si="4"/>
        <v>5820469</v>
      </c>
      <c r="I16" s="249">
        <f t="shared" si="3"/>
        <v>84.27</v>
      </c>
    </row>
    <row r="17" spans="1:9" s="7" customFormat="1" ht="27.75" customHeight="1">
      <c r="A17" s="243">
        <v>2011</v>
      </c>
      <c r="B17" s="1415">
        <v>8161961</v>
      </c>
      <c r="C17" s="75">
        <f>ROUND(B17/$B$14*100,0)</f>
        <v>157</v>
      </c>
      <c r="D17" s="1415">
        <v>4173778</v>
      </c>
      <c r="E17" s="75">
        <f t="shared" si="1"/>
        <v>3988183</v>
      </c>
      <c r="F17" s="75">
        <f t="shared" si="2"/>
        <v>96</v>
      </c>
      <c r="G17" s="1416">
        <v>2087773</v>
      </c>
      <c r="H17" s="75">
        <f t="shared" si="4"/>
        <v>6074188</v>
      </c>
      <c r="I17" s="259">
        <f t="shared" si="3"/>
        <v>74.42</v>
      </c>
    </row>
    <row r="18" spans="1:9">
      <c r="A18" s="1769" t="s">
        <v>297</v>
      </c>
      <c r="B18" s="1706"/>
      <c r="C18" s="1706"/>
      <c r="D18" s="1706"/>
      <c r="H18" s="98"/>
      <c r="I18" s="1008" t="s">
        <v>1180</v>
      </c>
    </row>
    <row r="19" spans="1:9">
      <c r="A19" s="1770"/>
      <c r="B19" s="1770"/>
      <c r="C19" s="1770"/>
      <c r="D19" s="1770"/>
    </row>
    <row r="20" spans="1:9">
      <c r="A20" s="1770"/>
      <c r="B20" s="1770"/>
      <c r="C20" s="1770"/>
      <c r="D20" s="1770"/>
    </row>
    <row r="22" spans="1:9">
      <c r="I22" s="151"/>
    </row>
  </sheetData>
  <mergeCells count="3">
    <mergeCell ref="A2:I2"/>
    <mergeCell ref="A1:I1"/>
    <mergeCell ref="A18:D20"/>
  </mergeCells>
  <phoneticPr fontId="0" type="noConversion"/>
  <printOptions horizontalCentered="1"/>
  <pageMargins left="0.1" right="0.1" top="0.92" bottom="0.1" header="0.55000000000000004" footer="0.1"/>
  <pageSetup paperSize="9"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sheetPr codeName="Sheet42"/>
  <dimension ref="A1:J49"/>
  <sheetViews>
    <sheetView workbookViewId="0">
      <selection activeCell="J11" sqref="J11"/>
    </sheetView>
  </sheetViews>
  <sheetFormatPr defaultRowHeight="12.75"/>
  <cols>
    <col min="1" max="1" width="24" customWidth="1"/>
    <col min="2" max="10" width="12.42578125" customWidth="1"/>
  </cols>
  <sheetData>
    <row r="1" spans="1:10" ht="12" customHeight="1">
      <c r="A1" s="1708" t="s">
        <v>343</v>
      </c>
      <c r="B1" s="1708"/>
      <c r="C1" s="1708"/>
      <c r="D1" s="1708"/>
      <c r="E1" s="1708"/>
      <c r="F1" s="1708"/>
      <c r="G1" s="1708"/>
      <c r="H1" s="1708"/>
      <c r="I1" s="1708"/>
      <c r="J1" s="1708"/>
    </row>
    <row r="2" spans="1:10" ht="13.5" customHeight="1">
      <c r="A2" s="1771" t="str">
        <f>CONCATENATE("Distribution of Rural and Urban Population by sex in the district of ",District!$A$1,", 2001")</f>
        <v>Distribution of Rural and Urban Population by sex in the district of South 24-Parganas, 2001</v>
      </c>
      <c r="B2" s="1771"/>
      <c r="C2" s="1771"/>
      <c r="D2" s="1771"/>
      <c r="E2" s="1771"/>
      <c r="F2" s="1771"/>
      <c r="G2" s="1771"/>
      <c r="H2" s="1771"/>
      <c r="I2" s="1771"/>
      <c r="J2" s="1771"/>
    </row>
    <row r="3" spans="1:10" ht="10.5" customHeight="1">
      <c r="J3" s="95" t="s">
        <v>977</v>
      </c>
    </row>
    <row r="4" spans="1:10" ht="12.75" customHeight="1">
      <c r="A4" s="1776" t="s">
        <v>1698</v>
      </c>
      <c r="B4" s="1772" t="s">
        <v>336</v>
      </c>
      <c r="C4" s="1773"/>
      <c r="D4" s="1774"/>
      <c r="E4" s="1772" t="s">
        <v>335</v>
      </c>
      <c r="F4" s="1773"/>
      <c r="G4" s="1774"/>
      <c r="H4" s="1775" t="s">
        <v>1075</v>
      </c>
      <c r="I4" s="1773"/>
      <c r="J4" s="1774"/>
    </row>
    <row r="5" spans="1:10" ht="14.25" customHeight="1">
      <c r="A5" s="1777"/>
      <c r="B5" s="832" t="s">
        <v>1003</v>
      </c>
      <c r="C5" s="142" t="s">
        <v>1004</v>
      </c>
      <c r="D5" s="338" t="s">
        <v>958</v>
      </c>
      <c r="E5" s="448" t="s">
        <v>1003</v>
      </c>
      <c r="F5" s="142" t="s">
        <v>1004</v>
      </c>
      <c r="G5" s="338" t="s">
        <v>958</v>
      </c>
      <c r="H5" s="447" t="s">
        <v>1003</v>
      </c>
      <c r="I5" s="142" t="s">
        <v>1004</v>
      </c>
      <c r="J5" s="338" t="s">
        <v>958</v>
      </c>
    </row>
    <row r="6" spans="1:10">
      <c r="A6" s="144" t="s">
        <v>928</v>
      </c>
      <c r="B6" s="137" t="s">
        <v>929</v>
      </c>
      <c r="C6" s="130" t="s">
        <v>930</v>
      </c>
      <c r="D6" s="132" t="s">
        <v>931</v>
      </c>
      <c r="E6" s="137" t="s">
        <v>932</v>
      </c>
      <c r="F6" s="130" t="s">
        <v>933</v>
      </c>
      <c r="G6" s="132" t="s">
        <v>934</v>
      </c>
      <c r="H6" s="131" t="s">
        <v>959</v>
      </c>
      <c r="I6" s="130" t="s">
        <v>960</v>
      </c>
      <c r="J6" s="132" t="s">
        <v>961</v>
      </c>
    </row>
    <row r="7" spans="1:10" ht="12" customHeight="1">
      <c r="A7" s="1227" t="s">
        <v>24</v>
      </c>
      <c r="B7" s="1214">
        <f t="shared" ref="B7:J7" si="0">SUM(B8:B15)</f>
        <v>350310</v>
      </c>
      <c r="C7" s="175">
        <f t="shared" si="0"/>
        <v>328860</v>
      </c>
      <c r="D7" s="187">
        <f t="shared" si="0"/>
        <v>679170</v>
      </c>
      <c r="E7" s="1214">
        <f t="shared" si="0"/>
        <v>328382</v>
      </c>
      <c r="F7" s="175">
        <f t="shared" si="0"/>
        <v>294403</v>
      </c>
      <c r="G7" s="187">
        <f t="shared" si="0"/>
        <v>622785</v>
      </c>
      <c r="H7" s="145">
        <f t="shared" si="0"/>
        <v>678692</v>
      </c>
      <c r="I7" s="175">
        <f t="shared" si="0"/>
        <v>623263</v>
      </c>
      <c r="J7" s="187">
        <f t="shared" si="0"/>
        <v>1301955</v>
      </c>
    </row>
    <row r="8" spans="1:10" ht="12" customHeight="1">
      <c r="A8" s="1226" t="s">
        <v>757</v>
      </c>
      <c r="B8" s="1215">
        <v>56211</v>
      </c>
      <c r="C8" s="83">
        <v>52923</v>
      </c>
      <c r="D8" s="1216">
        <f t="shared" ref="D8:D15" si="1">IF(SUM(B8,C8)=0,"-",SUM(B8,C8))</f>
        <v>109134</v>
      </c>
      <c r="E8" s="1215">
        <v>14306</v>
      </c>
      <c r="F8" s="83">
        <v>13463</v>
      </c>
      <c r="G8" s="1216">
        <f t="shared" ref="G8:G15" si="2">IF(SUM(E8,F8)=0,"-",SUM(E8,F8))</f>
        <v>27769</v>
      </c>
      <c r="H8" s="73">
        <f>IF(SUM(B8,E8)=0,"-",SUM(B8,E8))</f>
        <v>70517</v>
      </c>
      <c r="I8" s="83">
        <f t="shared" ref="I8:I15" si="3">IF(SUM(C8,F8)=0,"-",SUM(C8,F8))</f>
        <v>66386</v>
      </c>
      <c r="J8" s="1216">
        <f t="shared" ref="J8:J15" si="4">IF(SUM(H8,I8)=0,"-",SUM(H8,I8))</f>
        <v>136903</v>
      </c>
    </row>
    <row r="9" spans="1:10" ht="12" customHeight="1">
      <c r="A9" s="1226" t="s">
        <v>1214</v>
      </c>
      <c r="B9" s="1215">
        <v>99066</v>
      </c>
      <c r="C9" s="83">
        <v>92579</v>
      </c>
      <c r="D9" s="1216">
        <f t="shared" si="1"/>
        <v>191645</v>
      </c>
      <c r="E9" s="1215">
        <v>7614</v>
      </c>
      <c r="F9" s="83">
        <v>7111</v>
      </c>
      <c r="G9" s="1216">
        <f t="shared" si="2"/>
        <v>14725</v>
      </c>
      <c r="H9" s="73">
        <f t="shared" ref="H9:H15" si="5">IF(SUM(B9,E9)=0,"-",SUM(B9,E9))</f>
        <v>106680</v>
      </c>
      <c r="I9" s="83">
        <f t="shared" si="3"/>
        <v>99690</v>
      </c>
      <c r="J9" s="1216">
        <f t="shared" si="4"/>
        <v>206370</v>
      </c>
    </row>
    <row r="10" spans="1:10" ht="12" customHeight="1">
      <c r="A10" s="1226" t="s">
        <v>1211</v>
      </c>
      <c r="B10" s="1215">
        <v>91239</v>
      </c>
      <c r="C10" s="83">
        <v>86130</v>
      </c>
      <c r="D10" s="1216">
        <f t="shared" si="1"/>
        <v>177369</v>
      </c>
      <c r="E10" s="1215">
        <v>6792</v>
      </c>
      <c r="F10" s="83">
        <v>6475</v>
      </c>
      <c r="G10" s="1216">
        <f t="shared" si="2"/>
        <v>13267</v>
      </c>
      <c r="H10" s="73">
        <f t="shared" si="5"/>
        <v>98031</v>
      </c>
      <c r="I10" s="83">
        <f t="shared" si="3"/>
        <v>92605</v>
      </c>
      <c r="J10" s="1216">
        <f t="shared" si="4"/>
        <v>190636</v>
      </c>
    </row>
    <row r="11" spans="1:10" ht="12" customHeight="1">
      <c r="A11" s="1226" t="s">
        <v>1212</v>
      </c>
      <c r="B11" s="1215">
        <v>25301</v>
      </c>
      <c r="C11" s="83">
        <v>23635</v>
      </c>
      <c r="D11" s="1216">
        <f t="shared" si="1"/>
        <v>48936</v>
      </c>
      <c r="E11" s="1215">
        <v>27031</v>
      </c>
      <c r="F11" s="83">
        <v>23978</v>
      </c>
      <c r="G11" s="1216">
        <f t="shared" si="2"/>
        <v>51009</v>
      </c>
      <c r="H11" s="73">
        <f t="shared" si="5"/>
        <v>52332</v>
      </c>
      <c r="I11" s="83">
        <f t="shared" si="3"/>
        <v>47613</v>
      </c>
      <c r="J11" s="1216">
        <f t="shared" si="4"/>
        <v>99945</v>
      </c>
    </row>
    <row r="12" spans="1:10" ht="12" customHeight="1">
      <c r="A12" s="1226" t="s">
        <v>1213</v>
      </c>
      <c r="B12" s="1215">
        <v>78493</v>
      </c>
      <c r="C12" s="83">
        <v>73593</v>
      </c>
      <c r="D12" s="1216">
        <f t="shared" si="1"/>
        <v>152086</v>
      </c>
      <c r="E12" s="1215">
        <v>11505</v>
      </c>
      <c r="F12" s="83">
        <v>9855</v>
      </c>
      <c r="G12" s="1216">
        <f t="shared" si="2"/>
        <v>21360</v>
      </c>
      <c r="H12" s="73">
        <f t="shared" si="5"/>
        <v>89998</v>
      </c>
      <c r="I12" s="83">
        <f t="shared" si="3"/>
        <v>83448</v>
      </c>
      <c r="J12" s="1216">
        <f t="shared" si="4"/>
        <v>173446</v>
      </c>
    </row>
    <row r="13" spans="1:10" ht="12" customHeight="1">
      <c r="A13" s="1226" t="s">
        <v>1215</v>
      </c>
      <c r="B13" s="1217" t="s">
        <v>1229</v>
      </c>
      <c r="C13" s="1218" t="s">
        <v>1229</v>
      </c>
      <c r="D13" s="1216" t="str">
        <f t="shared" si="1"/>
        <v>-</v>
      </c>
      <c r="E13" s="1215">
        <v>41165</v>
      </c>
      <c r="F13" s="83">
        <v>34366</v>
      </c>
      <c r="G13" s="1216">
        <f t="shared" si="2"/>
        <v>75531</v>
      </c>
      <c r="H13" s="73">
        <f t="shared" si="5"/>
        <v>41165</v>
      </c>
      <c r="I13" s="83">
        <f t="shared" si="3"/>
        <v>34366</v>
      </c>
      <c r="J13" s="1216">
        <f t="shared" si="4"/>
        <v>75531</v>
      </c>
    </row>
    <row r="14" spans="1:10" ht="12" customHeight="1">
      <c r="A14" s="1226" t="s">
        <v>1216</v>
      </c>
      <c r="B14" s="1217" t="s">
        <v>1229</v>
      </c>
      <c r="C14" s="1218" t="s">
        <v>1229</v>
      </c>
      <c r="D14" s="1216" t="str">
        <f t="shared" si="1"/>
        <v>-</v>
      </c>
      <c r="E14" s="1215">
        <v>202304</v>
      </c>
      <c r="F14" s="83">
        <v>182962</v>
      </c>
      <c r="G14" s="1216">
        <f t="shared" si="2"/>
        <v>385266</v>
      </c>
      <c r="H14" s="73">
        <f t="shared" si="5"/>
        <v>202304</v>
      </c>
      <c r="I14" s="83">
        <f t="shared" si="3"/>
        <v>182962</v>
      </c>
      <c r="J14" s="1216">
        <f t="shared" si="4"/>
        <v>385266</v>
      </c>
    </row>
    <row r="15" spans="1:10" ht="12" customHeight="1">
      <c r="A15" s="1226" t="s">
        <v>1217</v>
      </c>
      <c r="B15" s="1217" t="s">
        <v>1229</v>
      </c>
      <c r="C15" s="1218" t="s">
        <v>1229</v>
      </c>
      <c r="D15" s="1216" t="str">
        <f t="shared" si="1"/>
        <v>-</v>
      </c>
      <c r="E15" s="1215">
        <v>17665</v>
      </c>
      <c r="F15" s="83">
        <v>16193</v>
      </c>
      <c r="G15" s="1216">
        <f t="shared" si="2"/>
        <v>33858</v>
      </c>
      <c r="H15" s="73">
        <f t="shared" si="5"/>
        <v>17665</v>
      </c>
      <c r="I15" s="83">
        <f t="shared" si="3"/>
        <v>16193</v>
      </c>
      <c r="J15" s="1216">
        <f t="shared" si="4"/>
        <v>33858</v>
      </c>
    </row>
    <row r="16" spans="1:10" ht="12" customHeight="1">
      <c r="A16" s="1227" t="s">
        <v>314</v>
      </c>
      <c r="B16" s="1214">
        <f>SUM(B17:B26)</f>
        <v>793767</v>
      </c>
      <c r="C16" s="175">
        <f t="shared" ref="C16:J16" si="6">SUM(C17:C26)</f>
        <v>743189</v>
      </c>
      <c r="D16" s="187">
        <f t="shared" si="6"/>
        <v>1536956</v>
      </c>
      <c r="E16" s="1214">
        <f t="shared" si="6"/>
        <v>214405</v>
      </c>
      <c r="F16" s="175">
        <f t="shared" si="6"/>
        <v>200605</v>
      </c>
      <c r="G16" s="187">
        <f t="shared" si="6"/>
        <v>415010</v>
      </c>
      <c r="H16" s="145">
        <f t="shared" si="6"/>
        <v>1008172</v>
      </c>
      <c r="I16" s="175">
        <f t="shared" si="6"/>
        <v>943794</v>
      </c>
      <c r="J16" s="187">
        <f t="shared" si="6"/>
        <v>1951966</v>
      </c>
    </row>
    <row r="17" spans="1:10" ht="12" customHeight="1">
      <c r="A17" s="1226" t="s">
        <v>1218</v>
      </c>
      <c r="B17" s="1215">
        <v>86078</v>
      </c>
      <c r="C17" s="83">
        <v>81330</v>
      </c>
      <c r="D17" s="1216">
        <f t="shared" ref="D17:D26" si="7">IF(SUM(B17,C17)=0,"-",SUM(B17,C17))</f>
        <v>167408</v>
      </c>
      <c r="E17" s="1217" t="s">
        <v>1229</v>
      </c>
      <c r="F17" s="1218" t="s">
        <v>1229</v>
      </c>
      <c r="G17" s="1216" t="str">
        <f t="shared" ref="G17:G26" si="8">IF(SUM(E17,F17)=0,"-",SUM(E17,F17))</f>
        <v>-</v>
      </c>
      <c r="H17" s="73">
        <f t="shared" ref="H17:H26" si="9">IF(SUM(B17,E17)=0,"-",SUM(B17,E17))</f>
        <v>86078</v>
      </c>
      <c r="I17" s="83">
        <f t="shared" ref="I17:I26" si="10">IF(SUM(C17,F17)=0,"-",SUM(C17,F17))</f>
        <v>81330</v>
      </c>
      <c r="J17" s="1216">
        <f t="shared" ref="J17:J26" si="11">IF(SUM(H17,I17)=0,"-",SUM(H17,I17))</f>
        <v>167408</v>
      </c>
    </row>
    <row r="18" spans="1:10" ht="12" customHeight="1">
      <c r="A18" s="1226" t="s">
        <v>759</v>
      </c>
      <c r="B18" s="1215">
        <v>110696</v>
      </c>
      <c r="C18" s="83">
        <v>103330</v>
      </c>
      <c r="D18" s="1216">
        <f t="shared" si="7"/>
        <v>214026</v>
      </c>
      <c r="E18" s="883">
        <v>2656</v>
      </c>
      <c r="F18" s="91">
        <v>2408</v>
      </c>
      <c r="G18" s="1216">
        <f t="shared" si="8"/>
        <v>5064</v>
      </c>
      <c r="H18" s="73">
        <f t="shared" si="9"/>
        <v>113352</v>
      </c>
      <c r="I18" s="83">
        <f t="shared" si="10"/>
        <v>105738</v>
      </c>
      <c r="J18" s="1216">
        <f t="shared" si="11"/>
        <v>219090</v>
      </c>
    </row>
    <row r="19" spans="1:10" ht="12" customHeight="1">
      <c r="A19" s="1226" t="s">
        <v>760</v>
      </c>
      <c r="B19" s="1215">
        <v>108294</v>
      </c>
      <c r="C19" s="83">
        <v>100851</v>
      </c>
      <c r="D19" s="1216">
        <f t="shared" si="7"/>
        <v>209145</v>
      </c>
      <c r="E19" s="1217" t="s">
        <v>1229</v>
      </c>
      <c r="F19" s="1218" t="s">
        <v>1229</v>
      </c>
      <c r="G19" s="1216" t="str">
        <f t="shared" si="8"/>
        <v>-</v>
      </c>
      <c r="H19" s="73">
        <f t="shared" si="9"/>
        <v>108294</v>
      </c>
      <c r="I19" s="83">
        <f t="shared" si="10"/>
        <v>100851</v>
      </c>
      <c r="J19" s="1216">
        <f t="shared" si="11"/>
        <v>209145</v>
      </c>
    </row>
    <row r="20" spans="1:10" ht="12" customHeight="1">
      <c r="A20" s="1226" t="s">
        <v>1194</v>
      </c>
      <c r="B20" s="1215">
        <v>97356</v>
      </c>
      <c r="C20" s="83">
        <v>90633</v>
      </c>
      <c r="D20" s="1216">
        <f t="shared" si="7"/>
        <v>187989</v>
      </c>
      <c r="E20" s="1217" t="s">
        <v>1229</v>
      </c>
      <c r="F20" s="1218" t="s">
        <v>1229</v>
      </c>
      <c r="G20" s="1216" t="str">
        <f t="shared" si="8"/>
        <v>-</v>
      </c>
      <c r="H20" s="73">
        <f t="shared" si="9"/>
        <v>97356</v>
      </c>
      <c r="I20" s="83">
        <f t="shared" si="10"/>
        <v>90633</v>
      </c>
      <c r="J20" s="1216">
        <f t="shared" si="11"/>
        <v>187989</v>
      </c>
    </row>
    <row r="21" spans="1:10" ht="12" customHeight="1">
      <c r="A21" s="1226" t="s">
        <v>1221</v>
      </c>
      <c r="B21" s="1215">
        <v>181636</v>
      </c>
      <c r="C21" s="83">
        <v>169803</v>
      </c>
      <c r="D21" s="1216">
        <f t="shared" si="7"/>
        <v>351439</v>
      </c>
      <c r="E21" s="1217" t="s">
        <v>1229</v>
      </c>
      <c r="F21" s="1218" t="s">
        <v>1229</v>
      </c>
      <c r="G21" s="1216" t="str">
        <f t="shared" si="8"/>
        <v>-</v>
      </c>
      <c r="H21" s="73">
        <f t="shared" si="9"/>
        <v>181636</v>
      </c>
      <c r="I21" s="83">
        <f t="shared" si="10"/>
        <v>169803</v>
      </c>
      <c r="J21" s="1216">
        <f t="shared" si="11"/>
        <v>351439</v>
      </c>
    </row>
    <row r="22" spans="1:10" ht="12" customHeight="1">
      <c r="A22" s="1226" t="s">
        <v>761</v>
      </c>
      <c r="B22" s="1215">
        <v>102024</v>
      </c>
      <c r="C22" s="83">
        <v>97345</v>
      </c>
      <c r="D22" s="1216">
        <f t="shared" si="7"/>
        <v>199369</v>
      </c>
      <c r="E22" s="883">
        <v>2560</v>
      </c>
      <c r="F22" s="91">
        <v>2451</v>
      </c>
      <c r="G22" s="1216">
        <f t="shared" si="8"/>
        <v>5011</v>
      </c>
      <c r="H22" s="73">
        <f t="shared" si="9"/>
        <v>104584</v>
      </c>
      <c r="I22" s="83">
        <f t="shared" si="10"/>
        <v>99796</v>
      </c>
      <c r="J22" s="1216">
        <f t="shared" si="11"/>
        <v>204380</v>
      </c>
    </row>
    <row r="23" spans="1:10" ht="12" customHeight="1">
      <c r="A23" s="1226" t="s">
        <v>762</v>
      </c>
      <c r="B23" s="1215">
        <v>107683</v>
      </c>
      <c r="C23" s="83">
        <v>99897</v>
      </c>
      <c r="D23" s="1216">
        <f t="shared" si="7"/>
        <v>207580</v>
      </c>
      <c r="E23" s="1217" t="s">
        <v>1229</v>
      </c>
      <c r="F23" s="1218" t="s">
        <v>1229</v>
      </c>
      <c r="G23" s="1216" t="str">
        <f t="shared" si="8"/>
        <v>-</v>
      </c>
      <c r="H23" s="73">
        <f t="shared" si="9"/>
        <v>107683</v>
      </c>
      <c r="I23" s="83">
        <f t="shared" si="10"/>
        <v>99897</v>
      </c>
      <c r="J23" s="1216">
        <f t="shared" si="11"/>
        <v>207580</v>
      </c>
    </row>
    <row r="24" spans="1:10" ht="12" customHeight="1">
      <c r="A24" s="1226" t="s">
        <v>836</v>
      </c>
      <c r="B24" s="1217" t="s">
        <v>1229</v>
      </c>
      <c r="C24" s="1218" t="s">
        <v>1229</v>
      </c>
      <c r="D24" s="1216" t="str">
        <f t="shared" si="7"/>
        <v>-</v>
      </c>
      <c r="E24" s="883">
        <v>12024</v>
      </c>
      <c r="F24" s="91">
        <v>11291</v>
      </c>
      <c r="G24" s="1216">
        <f t="shared" si="8"/>
        <v>23315</v>
      </c>
      <c r="H24" s="73">
        <f t="shared" si="9"/>
        <v>12024</v>
      </c>
      <c r="I24" s="83">
        <f t="shared" si="10"/>
        <v>11291</v>
      </c>
      <c r="J24" s="1216">
        <f t="shared" si="11"/>
        <v>23315</v>
      </c>
    </row>
    <row r="25" spans="1:10" ht="12" customHeight="1">
      <c r="A25" s="1226" t="s">
        <v>1222</v>
      </c>
      <c r="B25" s="1217" t="s">
        <v>1229</v>
      </c>
      <c r="C25" s="1219" t="s">
        <v>1229</v>
      </c>
      <c r="D25" s="1216" t="str">
        <f t="shared" si="7"/>
        <v>-</v>
      </c>
      <c r="E25" s="883">
        <v>23025</v>
      </c>
      <c r="F25" s="91">
        <v>21888</v>
      </c>
      <c r="G25" s="1216">
        <f t="shared" si="8"/>
        <v>44913</v>
      </c>
      <c r="H25" s="73">
        <f t="shared" si="9"/>
        <v>23025</v>
      </c>
      <c r="I25" s="83">
        <f t="shared" si="10"/>
        <v>21888</v>
      </c>
      <c r="J25" s="1216">
        <f t="shared" si="11"/>
        <v>44913</v>
      </c>
    </row>
    <row r="26" spans="1:10" ht="12" customHeight="1">
      <c r="A26" s="1226" t="s">
        <v>1736</v>
      </c>
      <c r="B26" s="1217" t="s">
        <v>1229</v>
      </c>
      <c r="C26" s="1218" t="s">
        <v>1229</v>
      </c>
      <c r="D26" s="1216" t="str">
        <f t="shared" si="7"/>
        <v>-</v>
      </c>
      <c r="E26" s="883">
        <v>174140</v>
      </c>
      <c r="F26" s="91">
        <v>162567</v>
      </c>
      <c r="G26" s="1216">
        <f t="shared" si="8"/>
        <v>336707</v>
      </c>
      <c r="H26" s="73">
        <f t="shared" si="9"/>
        <v>174140</v>
      </c>
      <c r="I26" s="83">
        <f t="shared" si="10"/>
        <v>162567</v>
      </c>
      <c r="J26" s="1216">
        <f t="shared" si="11"/>
        <v>336707</v>
      </c>
    </row>
    <row r="27" spans="1:10" ht="12" customHeight="1">
      <c r="A27" s="219" t="s">
        <v>315</v>
      </c>
      <c r="B27" s="1220">
        <f>IF(SUM(B28:B31)=0,"-",SUM(B28:B31))</f>
        <v>482112</v>
      </c>
      <c r="C27" s="1221">
        <f t="shared" ref="C27:J27" si="12">IF(SUM(C28:C31)=0,"-",SUM(C28:C31))</f>
        <v>459896</v>
      </c>
      <c r="D27" s="218">
        <f t="shared" si="12"/>
        <v>942008</v>
      </c>
      <c r="E27" s="1220" t="str">
        <f t="shared" si="12"/>
        <v>-</v>
      </c>
      <c r="F27" s="1221" t="str">
        <f t="shared" si="12"/>
        <v>-</v>
      </c>
      <c r="G27" s="218" t="str">
        <f t="shared" si="12"/>
        <v>-</v>
      </c>
      <c r="H27" s="184">
        <f t="shared" si="12"/>
        <v>482112</v>
      </c>
      <c r="I27" s="1221">
        <f t="shared" si="12"/>
        <v>459896</v>
      </c>
      <c r="J27" s="218">
        <f t="shared" si="12"/>
        <v>942008</v>
      </c>
    </row>
    <row r="28" spans="1:10" ht="12" customHeight="1">
      <c r="A28" s="1226" t="s">
        <v>1223</v>
      </c>
      <c r="B28" s="883">
        <v>125097</v>
      </c>
      <c r="C28" s="91">
        <v>119530</v>
      </c>
      <c r="D28" s="1216">
        <f>IF(SUM(B28,C28)=0,"-",SUM(B28,C28))</f>
        <v>244627</v>
      </c>
      <c r="E28" s="1217" t="s">
        <v>1229</v>
      </c>
      <c r="F28" s="1218" t="s">
        <v>1229</v>
      </c>
      <c r="G28" s="1216" t="str">
        <f>IF(SUM(E28,F28)=0,"-",SUM(E28,F28))</f>
        <v>-</v>
      </c>
      <c r="H28" s="73">
        <f t="shared" ref="H28:I31" si="13">IF(SUM(B28,E28)=0,"-",SUM(B28,E28))</f>
        <v>125097</v>
      </c>
      <c r="I28" s="83">
        <f t="shared" si="13"/>
        <v>119530</v>
      </c>
      <c r="J28" s="1216">
        <f>IF(SUM(H28,I28)=0,"-",SUM(H28,I28))</f>
        <v>244627</v>
      </c>
    </row>
    <row r="29" spans="1:10" ht="12" customHeight="1">
      <c r="A29" s="1226" t="s">
        <v>1224</v>
      </c>
      <c r="B29" s="883">
        <v>100397</v>
      </c>
      <c r="C29" s="91">
        <v>95570</v>
      </c>
      <c r="D29" s="1216">
        <f>IF(SUM(B29,C29)=0,"-",SUM(B29,C29))</f>
        <v>195967</v>
      </c>
      <c r="E29" s="1217" t="s">
        <v>1229</v>
      </c>
      <c r="F29" s="1218" t="s">
        <v>1229</v>
      </c>
      <c r="G29" s="1216" t="str">
        <f>IF(SUM(E29,F29)=0,"-",SUM(E29,F29))</f>
        <v>-</v>
      </c>
      <c r="H29" s="73">
        <f t="shared" si="13"/>
        <v>100397</v>
      </c>
      <c r="I29" s="83">
        <f t="shared" si="13"/>
        <v>95570</v>
      </c>
      <c r="J29" s="1216">
        <f>IF(SUM(H29,I29)=0,"-",SUM(H29,I29))</f>
        <v>195967</v>
      </c>
    </row>
    <row r="30" spans="1:10" ht="12" customHeight="1">
      <c r="A30" s="1226" t="s">
        <v>1197</v>
      </c>
      <c r="B30" s="883">
        <v>142705</v>
      </c>
      <c r="C30" s="91">
        <v>135887</v>
      </c>
      <c r="D30" s="1216">
        <f>IF(SUM(B30,C30)=0,"-",SUM(B30,C30))</f>
        <v>278592</v>
      </c>
      <c r="E30" s="1217" t="s">
        <v>1229</v>
      </c>
      <c r="F30" s="1218" t="s">
        <v>1229</v>
      </c>
      <c r="G30" s="1216" t="str">
        <f>IF(SUM(E30,F30)=0,"-",SUM(E30,F30))</f>
        <v>-</v>
      </c>
      <c r="H30" s="73">
        <f t="shared" si="13"/>
        <v>142705</v>
      </c>
      <c r="I30" s="83">
        <f t="shared" si="13"/>
        <v>135887</v>
      </c>
      <c r="J30" s="1216">
        <f>IF(SUM(H30,I30)=0,"-",SUM(H30,I30))</f>
        <v>278592</v>
      </c>
    </row>
    <row r="31" spans="1:10" ht="12" customHeight="1">
      <c r="A31" s="1226" t="s">
        <v>1198</v>
      </c>
      <c r="B31" s="883">
        <v>113913</v>
      </c>
      <c r="C31" s="91">
        <v>108909</v>
      </c>
      <c r="D31" s="1216">
        <f>IF(SUM(B31,C31)=0,"-",SUM(B31,C31))</f>
        <v>222822</v>
      </c>
      <c r="E31" s="1217" t="s">
        <v>1229</v>
      </c>
      <c r="F31" s="1218" t="s">
        <v>1229</v>
      </c>
      <c r="G31" s="1216" t="str">
        <f>IF(SUM(E31,F31)=0,"-",SUM(E31,F31))</f>
        <v>-</v>
      </c>
      <c r="H31" s="73">
        <f t="shared" si="13"/>
        <v>113913</v>
      </c>
      <c r="I31" s="83">
        <f t="shared" si="13"/>
        <v>108909</v>
      </c>
      <c r="J31" s="1216">
        <f>IF(SUM(H31,I31)=0,"-",SUM(H31,I31))</f>
        <v>222822</v>
      </c>
    </row>
    <row r="32" spans="1:10" ht="12" customHeight="1">
      <c r="A32" s="220" t="s">
        <v>25</v>
      </c>
      <c r="B32" s="1220">
        <f>SUM(B33:B42)</f>
        <v>922766</v>
      </c>
      <c r="C32" s="1221">
        <f t="shared" ref="C32:J32" si="14">SUM(C33:C42)</f>
        <v>865578</v>
      </c>
      <c r="D32" s="218">
        <f t="shared" si="14"/>
        <v>1788344</v>
      </c>
      <c r="E32" s="1220">
        <f t="shared" si="14"/>
        <v>24936</v>
      </c>
      <c r="F32" s="1221">
        <f t="shared" si="14"/>
        <v>23489</v>
      </c>
      <c r="G32" s="218">
        <f t="shared" si="14"/>
        <v>48425</v>
      </c>
      <c r="H32" s="184">
        <f t="shared" si="14"/>
        <v>947702</v>
      </c>
      <c r="I32" s="1221">
        <f t="shared" si="14"/>
        <v>889067</v>
      </c>
      <c r="J32" s="218">
        <f t="shared" si="14"/>
        <v>1836769</v>
      </c>
    </row>
    <row r="33" spans="1:10" ht="12" customHeight="1">
      <c r="A33" s="1226" t="s">
        <v>1225</v>
      </c>
      <c r="B33" s="883">
        <v>117870</v>
      </c>
      <c r="C33" s="91">
        <v>110465</v>
      </c>
      <c r="D33" s="1216">
        <f t="shared" ref="D33:D42" si="15">IF(SUM(B33,C33)=0,"-",SUM(B33,C33))</f>
        <v>228335</v>
      </c>
      <c r="E33" s="1217" t="s">
        <v>1229</v>
      </c>
      <c r="F33" s="1218" t="s">
        <v>1229</v>
      </c>
      <c r="G33" s="1216" t="str">
        <f>IF(SUM(E33,F33)=0,"-",SUM(E33,F33))</f>
        <v>-</v>
      </c>
      <c r="H33" s="73">
        <f t="shared" ref="H33:H42" si="16">IF(SUM(B33,E33)=0,"-",SUM(B33,E33))</f>
        <v>117870</v>
      </c>
      <c r="I33" s="83">
        <f t="shared" ref="I33:I42" si="17">IF(SUM(C33,F33)=0,"-",SUM(C33,F33))</f>
        <v>110465</v>
      </c>
      <c r="J33" s="1216">
        <f t="shared" ref="J33:J42" si="18">IF(SUM(H33,I33)=0,"-",SUM(H33,I33))</f>
        <v>228335</v>
      </c>
    </row>
    <row r="34" spans="1:10" ht="12" customHeight="1">
      <c r="A34" s="1226" t="s">
        <v>1226</v>
      </c>
      <c r="B34" s="883">
        <v>129467</v>
      </c>
      <c r="C34" s="91">
        <v>121434</v>
      </c>
      <c r="D34" s="1216">
        <f t="shared" si="15"/>
        <v>250901</v>
      </c>
      <c r="E34" s="883">
        <v>5727</v>
      </c>
      <c r="F34" s="91">
        <v>5464</v>
      </c>
      <c r="G34" s="1216">
        <f t="shared" ref="G34:G42" si="19">IF(SUM(E34,F34)=0,"-",SUM(E34,F34))</f>
        <v>11191</v>
      </c>
      <c r="H34" s="73">
        <f t="shared" si="16"/>
        <v>135194</v>
      </c>
      <c r="I34" s="83">
        <f t="shared" si="17"/>
        <v>126898</v>
      </c>
      <c r="J34" s="1216">
        <f t="shared" si="18"/>
        <v>262092</v>
      </c>
    </row>
    <row r="35" spans="1:10" ht="12" customHeight="1">
      <c r="A35" s="1226" t="s">
        <v>837</v>
      </c>
      <c r="B35" s="883">
        <v>94620</v>
      </c>
      <c r="C35" s="91">
        <v>88511</v>
      </c>
      <c r="D35" s="1216">
        <f t="shared" si="15"/>
        <v>183131</v>
      </c>
      <c r="E35" s="1217" t="s">
        <v>1229</v>
      </c>
      <c r="F35" s="1218" t="s">
        <v>1229</v>
      </c>
      <c r="G35" s="1216" t="str">
        <f t="shared" si="19"/>
        <v>-</v>
      </c>
      <c r="H35" s="73">
        <f t="shared" si="16"/>
        <v>94620</v>
      </c>
      <c r="I35" s="83">
        <f t="shared" si="17"/>
        <v>88511</v>
      </c>
      <c r="J35" s="1216">
        <f t="shared" si="18"/>
        <v>183131</v>
      </c>
    </row>
    <row r="36" spans="1:10" ht="12" customHeight="1">
      <c r="A36" s="1226" t="s">
        <v>1203</v>
      </c>
      <c r="B36" s="883">
        <v>124836</v>
      </c>
      <c r="C36" s="91">
        <v>117916</v>
      </c>
      <c r="D36" s="1216">
        <f t="shared" si="15"/>
        <v>242752</v>
      </c>
      <c r="E36" s="1217" t="s">
        <v>1229</v>
      </c>
      <c r="F36" s="1218" t="s">
        <v>1229</v>
      </c>
      <c r="G36" s="1216" t="str">
        <f t="shared" si="19"/>
        <v>-</v>
      </c>
      <c r="H36" s="73">
        <f t="shared" si="16"/>
        <v>124836</v>
      </c>
      <c r="I36" s="83">
        <f t="shared" si="17"/>
        <v>117916</v>
      </c>
      <c r="J36" s="1216">
        <f t="shared" si="18"/>
        <v>242752</v>
      </c>
    </row>
    <row r="37" spans="1:10" ht="12" customHeight="1">
      <c r="A37" s="1226" t="s">
        <v>1204</v>
      </c>
      <c r="B37" s="883">
        <v>114232</v>
      </c>
      <c r="C37" s="91">
        <v>107463</v>
      </c>
      <c r="D37" s="1216">
        <f t="shared" si="15"/>
        <v>221695</v>
      </c>
      <c r="E37" s="1217" t="s">
        <v>1229</v>
      </c>
      <c r="F37" s="1218" t="s">
        <v>1229</v>
      </c>
      <c r="G37" s="1216" t="str">
        <f t="shared" si="19"/>
        <v>-</v>
      </c>
      <c r="H37" s="73">
        <f t="shared" si="16"/>
        <v>114232</v>
      </c>
      <c r="I37" s="83">
        <f t="shared" si="17"/>
        <v>107463</v>
      </c>
      <c r="J37" s="1216">
        <f t="shared" si="18"/>
        <v>221695</v>
      </c>
    </row>
    <row r="38" spans="1:10" ht="12" customHeight="1">
      <c r="A38" s="1226" t="s">
        <v>1744</v>
      </c>
      <c r="B38" s="883">
        <v>69094</v>
      </c>
      <c r="C38" s="91">
        <v>64272</v>
      </c>
      <c r="D38" s="1216">
        <f t="shared" si="15"/>
        <v>133366</v>
      </c>
      <c r="E38" s="1217" t="s">
        <v>1229</v>
      </c>
      <c r="F38" s="1218" t="s">
        <v>1229</v>
      </c>
      <c r="G38" s="1216" t="str">
        <f t="shared" si="19"/>
        <v>-</v>
      </c>
      <c r="H38" s="73">
        <f t="shared" si="16"/>
        <v>69094</v>
      </c>
      <c r="I38" s="83">
        <f t="shared" si="17"/>
        <v>64272</v>
      </c>
      <c r="J38" s="1216">
        <f t="shared" si="18"/>
        <v>133366</v>
      </c>
    </row>
    <row r="39" spans="1:10" ht="12" customHeight="1">
      <c r="A39" s="1226" t="s">
        <v>1745</v>
      </c>
      <c r="B39" s="883">
        <v>84722</v>
      </c>
      <c r="C39" s="91">
        <v>80511</v>
      </c>
      <c r="D39" s="1216">
        <f t="shared" si="15"/>
        <v>165233</v>
      </c>
      <c r="E39" s="1217" t="s">
        <v>1229</v>
      </c>
      <c r="F39" s="1218" t="s">
        <v>1229</v>
      </c>
      <c r="G39" s="1216" t="str">
        <f t="shared" si="19"/>
        <v>-</v>
      </c>
      <c r="H39" s="73">
        <f t="shared" si="16"/>
        <v>84722</v>
      </c>
      <c r="I39" s="83">
        <f t="shared" si="17"/>
        <v>80511</v>
      </c>
      <c r="J39" s="1216">
        <f t="shared" si="18"/>
        <v>165233</v>
      </c>
    </row>
    <row r="40" spans="1:10" ht="12" customHeight="1">
      <c r="A40" s="1226" t="s">
        <v>1227</v>
      </c>
      <c r="B40" s="883">
        <v>84894</v>
      </c>
      <c r="C40" s="91">
        <v>79756</v>
      </c>
      <c r="D40" s="1216">
        <f t="shared" si="15"/>
        <v>164650</v>
      </c>
      <c r="E40" s="1217" t="s">
        <v>1229</v>
      </c>
      <c r="F40" s="1218" t="s">
        <v>1229</v>
      </c>
      <c r="G40" s="1216" t="str">
        <f t="shared" si="19"/>
        <v>-</v>
      </c>
      <c r="H40" s="73">
        <f t="shared" si="16"/>
        <v>84894</v>
      </c>
      <c r="I40" s="83">
        <f t="shared" si="17"/>
        <v>79756</v>
      </c>
      <c r="J40" s="1216">
        <f t="shared" si="18"/>
        <v>164650</v>
      </c>
    </row>
    <row r="41" spans="1:10" ht="12" customHeight="1">
      <c r="A41" s="1226" t="s">
        <v>1228</v>
      </c>
      <c r="B41" s="883">
        <v>103031</v>
      </c>
      <c r="C41" s="91">
        <v>95250</v>
      </c>
      <c r="D41" s="1216">
        <f t="shared" si="15"/>
        <v>198281</v>
      </c>
      <c r="E41" s="1217" t="s">
        <v>1229</v>
      </c>
      <c r="F41" s="1218" t="s">
        <v>1229</v>
      </c>
      <c r="G41" s="1216" t="str">
        <f t="shared" si="19"/>
        <v>-</v>
      </c>
      <c r="H41" s="73">
        <f t="shared" si="16"/>
        <v>103031</v>
      </c>
      <c r="I41" s="83">
        <f t="shared" si="17"/>
        <v>95250</v>
      </c>
      <c r="J41" s="1216">
        <f t="shared" si="18"/>
        <v>198281</v>
      </c>
    </row>
    <row r="42" spans="1:10" ht="12" customHeight="1">
      <c r="A42" s="1226" t="s">
        <v>863</v>
      </c>
      <c r="B42" s="1217" t="s">
        <v>1229</v>
      </c>
      <c r="C42" s="1218" t="s">
        <v>1229</v>
      </c>
      <c r="D42" s="1216" t="str">
        <f t="shared" si="15"/>
        <v>-</v>
      </c>
      <c r="E42" s="883">
        <v>19209</v>
      </c>
      <c r="F42" s="91">
        <v>18025</v>
      </c>
      <c r="G42" s="1216">
        <f t="shared" si="19"/>
        <v>37234</v>
      </c>
      <c r="H42" s="73">
        <f t="shared" si="16"/>
        <v>19209</v>
      </c>
      <c r="I42" s="83">
        <f t="shared" si="17"/>
        <v>18025</v>
      </c>
      <c r="J42" s="1216">
        <f t="shared" si="18"/>
        <v>37234</v>
      </c>
    </row>
    <row r="43" spans="1:10" ht="12" customHeight="1">
      <c r="A43" s="1227" t="s">
        <v>317</v>
      </c>
      <c r="B43" s="1220">
        <f>SUM(B44:B47)</f>
        <v>448315</v>
      </c>
      <c r="C43" s="1221">
        <f t="shared" ref="C43:J43" si="20">SUM(C44:C47)</f>
        <v>425676</v>
      </c>
      <c r="D43" s="218">
        <f t="shared" si="20"/>
        <v>873991</v>
      </c>
      <c r="E43" s="1220" t="str">
        <f>IF(SUM(E44:E47)=0,"-",SUM(E44:E47))</f>
        <v>-</v>
      </c>
      <c r="F43" s="1221" t="str">
        <f>IF(SUM(F44:F47)=0,"-",SUM(F44:F47))</f>
        <v>-</v>
      </c>
      <c r="G43" s="218" t="str">
        <f>IF(SUM(G44:G47)=0,"-",SUM(G44:G47))</f>
        <v>-</v>
      </c>
      <c r="H43" s="184">
        <f t="shared" si="20"/>
        <v>448315</v>
      </c>
      <c r="I43" s="1221">
        <f t="shared" si="20"/>
        <v>425676</v>
      </c>
      <c r="J43" s="218">
        <f t="shared" si="20"/>
        <v>873991</v>
      </c>
    </row>
    <row r="44" spans="1:10" ht="12" customHeight="1">
      <c r="A44" s="1226" t="s">
        <v>1205</v>
      </c>
      <c r="B44" s="883">
        <v>122815</v>
      </c>
      <c r="C44" s="91">
        <v>116511</v>
      </c>
      <c r="D44" s="1216">
        <f>IF(SUM(B44,C44)=0,"-",SUM(B44,C44))</f>
        <v>239326</v>
      </c>
      <c r="E44" s="1217" t="s">
        <v>1229</v>
      </c>
      <c r="F44" s="1218" t="s">
        <v>1229</v>
      </c>
      <c r="G44" s="1216" t="str">
        <f>IF(SUM(E44,F44)=0,"-",SUM(E44,F44))</f>
        <v>-</v>
      </c>
      <c r="H44" s="73">
        <f t="shared" ref="H44:I48" si="21">IF(SUM(B44,E44)=0,"-",SUM(B44,E44))</f>
        <v>122815</v>
      </c>
      <c r="I44" s="83">
        <f t="shared" si="21"/>
        <v>116511</v>
      </c>
      <c r="J44" s="1216">
        <f>IF(SUM(H44,I44)=0,"-",SUM(H44,I44))</f>
        <v>239326</v>
      </c>
    </row>
    <row r="45" spans="1:10" ht="12" customHeight="1">
      <c r="A45" s="1226" t="s">
        <v>1206</v>
      </c>
      <c r="B45" s="883">
        <v>82301</v>
      </c>
      <c r="C45" s="91">
        <v>78326</v>
      </c>
      <c r="D45" s="1216">
        <f>IF(SUM(B45,C45)=0,"-",SUM(B45,C45))</f>
        <v>160627</v>
      </c>
      <c r="E45" s="1217" t="s">
        <v>1229</v>
      </c>
      <c r="F45" s="1218" t="s">
        <v>1229</v>
      </c>
      <c r="G45" s="1216" t="str">
        <f>IF(SUM(E45,F45)=0,"-",SUM(E45,F45))</f>
        <v>-</v>
      </c>
      <c r="H45" s="73">
        <f t="shared" si="21"/>
        <v>82301</v>
      </c>
      <c r="I45" s="83">
        <f t="shared" si="21"/>
        <v>78326</v>
      </c>
      <c r="J45" s="1216">
        <f>IF(SUM(H45,I45)=0,"-",SUM(H45,I45))</f>
        <v>160627</v>
      </c>
    </row>
    <row r="46" spans="1:10" ht="12" customHeight="1">
      <c r="A46" s="1226" t="s">
        <v>1207</v>
      </c>
      <c r="B46" s="883">
        <v>95547</v>
      </c>
      <c r="C46" s="91">
        <v>90097</v>
      </c>
      <c r="D46" s="1216">
        <f>IF(SUM(B46,C46)=0,"-",SUM(B46,C46))</f>
        <v>185644</v>
      </c>
      <c r="E46" s="1217" t="s">
        <v>1229</v>
      </c>
      <c r="F46" s="1218" t="s">
        <v>1229</v>
      </c>
      <c r="G46" s="1216" t="str">
        <f>IF(SUM(E46,F46)=0,"-",SUM(E46,F46))</f>
        <v>-</v>
      </c>
      <c r="H46" s="73">
        <f t="shared" si="21"/>
        <v>95547</v>
      </c>
      <c r="I46" s="83">
        <f t="shared" si="21"/>
        <v>90097</v>
      </c>
      <c r="J46" s="1216">
        <f>IF(SUM(H46,I46)=0,"-",SUM(H46,I46))</f>
        <v>185644</v>
      </c>
    </row>
    <row r="47" spans="1:10" ht="12" customHeight="1">
      <c r="A47" s="1226" t="s">
        <v>1208</v>
      </c>
      <c r="B47" s="883">
        <v>147652</v>
      </c>
      <c r="C47" s="91">
        <v>140742</v>
      </c>
      <c r="D47" s="1216">
        <f>IF(SUM(B47,C47)=0,"-",SUM(B47,C47))</f>
        <v>288394</v>
      </c>
      <c r="E47" s="1217" t="s">
        <v>1229</v>
      </c>
      <c r="F47" s="1218" t="s">
        <v>1229</v>
      </c>
      <c r="G47" s="1216" t="str">
        <f>IF(SUM(E47,F47)=0,"-",SUM(E47,F47))</f>
        <v>-</v>
      </c>
      <c r="H47" s="73">
        <f t="shared" si="21"/>
        <v>147652</v>
      </c>
      <c r="I47" s="83">
        <f t="shared" si="21"/>
        <v>140742</v>
      </c>
      <c r="J47" s="1216">
        <f>IF(SUM(H47,I47)=0,"-",SUM(H47,I47))</f>
        <v>288394</v>
      </c>
    </row>
    <row r="48" spans="1:10" ht="12" customHeight="1">
      <c r="A48" s="1228" t="s">
        <v>252</v>
      </c>
      <c r="B48" s="1222">
        <f>SUM(B7,B16,B27,B32,B43)</f>
        <v>2997270</v>
      </c>
      <c r="C48" s="1223">
        <f>SUM(C7,C16,C27,C32,C43)</f>
        <v>2823199</v>
      </c>
      <c r="D48" s="1224">
        <f>SUM(B48,C48)</f>
        <v>5820469</v>
      </c>
      <c r="E48" s="1222">
        <f>SUM(E7,E16,E27,E32,E43)</f>
        <v>567723</v>
      </c>
      <c r="F48" s="1223">
        <f>SUM(F7,F16,F27,F32,F43)</f>
        <v>518497</v>
      </c>
      <c r="G48" s="1224">
        <f>SUM(E48,F48)</f>
        <v>1086220</v>
      </c>
      <c r="H48" s="1225">
        <f t="shared" si="21"/>
        <v>3564993</v>
      </c>
      <c r="I48" s="1223">
        <f t="shared" si="21"/>
        <v>3341696</v>
      </c>
      <c r="J48" s="1224">
        <f>SUM(H48,I48)</f>
        <v>6906689</v>
      </c>
    </row>
    <row r="49" spans="10:10">
      <c r="J49" s="1008" t="s">
        <v>1115</v>
      </c>
    </row>
  </sheetData>
  <mergeCells count="6">
    <mergeCell ref="A1:J1"/>
    <mergeCell ref="A2:J2"/>
    <mergeCell ref="E4:G4"/>
    <mergeCell ref="H4:J4"/>
    <mergeCell ref="A4:A5"/>
    <mergeCell ref="B4:D4"/>
  </mergeCells>
  <phoneticPr fontId="0" type="noConversion"/>
  <printOptions horizontalCentered="1"/>
  <pageMargins left="0.1" right="0.1" top="0.34" bottom="0.1" header="0.34" footer="0.1"/>
  <pageSetup paperSize="9" scale="95"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sheetPr codeName="Sheet46"/>
  <dimension ref="A1:J49"/>
  <sheetViews>
    <sheetView workbookViewId="0">
      <selection activeCell="J11" sqref="J11"/>
    </sheetView>
  </sheetViews>
  <sheetFormatPr defaultRowHeight="12.75"/>
  <cols>
    <col min="1" max="1" width="24" customWidth="1"/>
    <col min="2" max="10" width="12.42578125" customWidth="1"/>
  </cols>
  <sheetData>
    <row r="1" spans="1:10" ht="12" customHeight="1">
      <c r="A1" s="1708" t="s">
        <v>591</v>
      </c>
      <c r="B1" s="1708"/>
      <c r="C1" s="1708"/>
      <c r="D1" s="1708"/>
      <c r="E1" s="1708"/>
      <c r="F1" s="1708"/>
      <c r="G1" s="1708"/>
      <c r="H1" s="1708"/>
      <c r="I1" s="1708"/>
      <c r="J1" s="1708"/>
    </row>
    <row r="2" spans="1:10" ht="13.5" customHeight="1">
      <c r="A2" s="1771" t="str">
        <f>CONCATENATE("Distribution of Rural and Urban Population by sex in the district of ",District!$A$1,", 2011")</f>
        <v>Distribution of Rural and Urban Population by sex in the district of South 24-Parganas, 2011</v>
      </c>
      <c r="B2" s="1771"/>
      <c r="C2" s="1771"/>
      <c r="D2" s="1771"/>
      <c r="E2" s="1771"/>
      <c r="F2" s="1771"/>
      <c r="G2" s="1771"/>
      <c r="H2" s="1771"/>
      <c r="I2" s="1771"/>
      <c r="J2" s="1771"/>
    </row>
    <row r="3" spans="1:10" ht="10.5" customHeight="1">
      <c r="J3" s="95" t="s">
        <v>977</v>
      </c>
    </row>
    <row r="4" spans="1:10" ht="12.75" customHeight="1">
      <c r="A4" s="1776" t="s">
        <v>1698</v>
      </c>
      <c r="B4" s="1772" t="s">
        <v>336</v>
      </c>
      <c r="C4" s="1773"/>
      <c r="D4" s="1774"/>
      <c r="E4" s="1772" t="s">
        <v>335</v>
      </c>
      <c r="F4" s="1773"/>
      <c r="G4" s="1774"/>
      <c r="H4" s="1775" t="s">
        <v>1075</v>
      </c>
      <c r="I4" s="1773"/>
      <c r="J4" s="1774"/>
    </row>
    <row r="5" spans="1:10" ht="14.25" customHeight="1">
      <c r="A5" s="1777"/>
      <c r="B5" s="832" t="s">
        <v>1003</v>
      </c>
      <c r="C5" s="142" t="s">
        <v>1004</v>
      </c>
      <c r="D5" s="338" t="s">
        <v>958</v>
      </c>
      <c r="E5" s="448" t="s">
        <v>1003</v>
      </c>
      <c r="F5" s="142" t="s">
        <v>1004</v>
      </c>
      <c r="G5" s="338" t="s">
        <v>958</v>
      </c>
      <c r="H5" s="447" t="s">
        <v>1003</v>
      </c>
      <c r="I5" s="142" t="s">
        <v>1004</v>
      </c>
      <c r="J5" s="338" t="s">
        <v>958</v>
      </c>
    </row>
    <row r="6" spans="1:10">
      <c r="A6" s="144" t="s">
        <v>928</v>
      </c>
      <c r="B6" s="137" t="s">
        <v>929</v>
      </c>
      <c r="C6" s="130" t="s">
        <v>930</v>
      </c>
      <c r="D6" s="132" t="s">
        <v>931</v>
      </c>
      <c r="E6" s="137" t="s">
        <v>932</v>
      </c>
      <c r="F6" s="130" t="s">
        <v>933</v>
      </c>
      <c r="G6" s="132" t="s">
        <v>934</v>
      </c>
      <c r="H6" s="131" t="s">
        <v>959</v>
      </c>
      <c r="I6" s="130" t="s">
        <v>960</v>
      </c>
      <c r="J6" s="132" t="s">
        <v>961</v>
      </c>
    </row>
    <row r="7" spans="1:10" ht="12" customHeight="1">
      <c r="A7" s="1227" t="s">
        <v>24</v>
      </c>
      <c r="B7" s="1214">
        <f t="shared" ref="B7:J7" si="0">SUM(B8:B15)</f>
        <v>305627</v>
      </c>
      <c r="C7" s="1430">
        <f t="shared" si="0"/>
        <v>292744</v>
      </c>
      <c r="D7" s="187">
        <f t="shared" si="0"/>
        <v>598371</v>
      </c>
      <c r="E7" s="1214">
        <f t="shared" si="0"/>
        <v>456220</v>
      </c>
      <c r="F7" s="1430">
        <f t="shared" si="0"/>
        <v>435751</v>
      </c>
      <c r="G7" s="187">
        <f t="shared" si="0"/>
        <v>891971</v>
      </c>
      <c r="H7" s="145">
        <f t="shared" si="0"/>
        <v>761847</v>
      </c>
      <c r="I7" s="175">
        <f t="shared" si="0"/>
        <v>728495</v>
      </c>
      <c r="J7" s="187">
        <f t="shared" si="0"/>
        <v>1490342</v>
      </c>
    </row>
    <row r="8" spans="1:10" ht="12" customHeight="1">
      <c r="A8" s="1226" t="s">
        <v>757</v>
      </c>
      <c r="B8" s="1">
        <v>45717</v>
      </c>
      <c r="C8" s="68">
        <v>44463</v>
      </c>
      <c r="D8" s="1216">
        <f t="shared" ref="D8:D15" si="1">IF(SUM(B8,C8)=0,"-",SUM(B8,C8))</f>
        <v>90180</v>
      </c>
      <c r="E8" s="1">
        <v>43435</v>
      </c>
      <c r="F8" s="68">
        <v>42588</v>
      </c>
      <c r="G8" s="1216">
        <f t="shared" ref="G8:G15" si="2">IF(SUM(E8,F8)=0,"-",SUM(E8,F8))</f>
        <v>86023</v>
      </c>
      <c r="H8" s="73">
        <f t="shared" ref="H8:I15" si="3">IF(SUM(B8,E8)=0,"-",SUM(B8,E8))</f>
        <v>89152</v>
      </c>
      <c r="I8" s="83">
        <f t="shared" si="3"/>
        <v>87051</v>
      </c>
      <c r="J8" s="1216">
        <f t="shared" ref="J8:J15" si="4">IF(SUM(H8,I8)=0,"-",SUM(H8,I8))</f>
        <v>176203</v>
      </c>
    </row>
    <row r="9" spans="1:10" ht="12" customHeight="1">
      <c r="A9" s="1226" t="s">
        <v>1214</v>
      </c>
      <c r="B9" s="1">
        <v>104530</v>
      </c>
      <c r="C9" s="68">
        <v>99855</v>
      </c>
      <c r="D9" s="1216">
        <f t="shared" si="1"/>
        <v>204385</v>
      </c>
      <c r="E9" s="1">
        <v>14187</v>
      </c>
      <c r="F9" s="68">
        <v>13793</v>
      </c>
      <c r="G9" s="1216">
        <f t="shared" si="2"/>
        <v>27980</v>
      </c>
      <c r="H9" s="73">
        <f t="shared" si="3"/>
        <v>118717</v>
      </c>
      <c r="I9" s="83">
        <f t="shared" si="3"/>
        <v>113648</v>
      </c>
      <c r="J9" s="1216">
        <f t="shared" si="4"/>
        <v>232365</v>
      </c>
    </row>
    <row r="10" spans="1:10" ht="12" customHeight="1">
      <c r="A10" s="1226" t="s">
        <v>1211</v>
      </c>
      <c r="B10" s="1">
        <v>71223</v>
      </c>
      <c r="C10" s="68">
        <v>67756</v>
      </c>
      <c r="D10" s="1216">
        <f t="shared" si="1"/>
        <v>138979</v>
      </c>
      <c r="E10" s="1">
        <v>38380</v>
      </c>
      <c r="F10" s="68">
        <v>37172</v>
      </c>
      <c r="G10" s="1216">
        <f t="shared" si="2"/>
        <v>75552</v>
      </c>
      <c r="H10" s="73">
        <f t="shared" si="3"/>
        <v>109603</v>
      </c>
      <c r="I10" s="83">
        <f t="shared" si="3"/>
        <v>104928</v>
      </c>
      <c r="J10" s="1216">
        <f t="shared" si="4"/>
        <v>214531</v>
      </c>
    </row>
    <row r="11" spans="1:10" ht="12" customHeight="1">
      <c r="A11" s="1226" t="s">
        <v>1212</v>
      </c>
      <c r="B11" s="1">
        <v>15040</v>
      </c>
      <c r="C11" s="68">
        <v>14533</v>
      </c>
      <c r="D11" s="1216">
        <f t="shared" si="1"/>
        <v>29573</v>
      </c>
      <c r="E11" s="1">
        <v>42622</v>
      </c>
      <c r="F11" s="68">
        <v>40713</v>
      </c>
      <c r="G11" s="1216">
        <f t="shared" si="2"/>
        <v>83335</v>
      </c>
      <c r="H11" s="73">
        <f t="shared" si="3"/>
        <v>57662</v>
      </c>
      <c r="I11" s="83">
        <f t="shared" si="3"/>
        <v>55246</v>
      </c>
      <c r="J11" s="1216">
        <f t="shared" si="4"/>
        <v>112908</v>
      </c>
    </row>
    <row r="12" spans="1:10" ht="12" customHeight="1">
      <c r="A12" s="1226" t="s">
        <v>1213</v>
      </c>
      <c r="B12" s="1">
        <v>69117</v>
      </c>
      <c r="C12" s="68">
        <v>66137</v>
      </c>
      <c r="D12" s="1216">
        <f t="shared" si="1"/>
        <v>135254</v>
      </c>
      <c r="E12" s="1">
        <v>29453</v>
      </c>
      <c r="F12" s="68">
        <v>27427</v>
      </c>
      <c r="G12" s="1216">
        <f t="shared" si="2"/>
        <v>56880</v>
      </c>
      <c r="H12" s="73">
        <f t="shared" si="3"/>
        <v>98570</v>
      </c>
      <c r="I12" s="83">
        <f t="shared" si="3"/>
        <v>93564</v>
      </c>
      <c r="J12" s="1216">
        <f t="shared" si="4"/>
        <v>192134</v>
      </c>
    </row>
    <row r="13" spans="1:10" ht="12" customHeight="1">
      <c r="A13" s="1226" t="s">
        <v>1215</v>
      </c>
      <c r="B13" s="1217" t="s">
        <v>1229</v>
      </c>
      <c r="C13" s="1218" t="s">
        <v>1229</v>
      </c>
      <c r="D13" s="1216" t="str">
        <f t="shared" si="1"/>
        <v>-</v>
      </c>
      <c r="E13" s="1">
        <v>39510</v>
      </c>
      <c r="F13" s="68">
        <v>37327</v>
      </c>
      <c r="G13" s="1216">
        <f t="shared" si="2"/>
        <v>76837</v>
      </c>
      <c r="H13" s="73">
        <f t="shared" si="3"/>
        <v>39510</v>
      </c>
      <c r="I13" s="83">
        <f t="shared" si="3"/>
        <v>37327</v>
      </c>
      <c r="J13" s="1216">
        <f t="shared" si="4"/>
        <v>76837</v>
      </c>
    </row>
    <row r="14" spans="1:10" ht="12" customHeight="1">
      <c r="A14" s="1226" t="s">
        <v>1216</v>
      </c>
      <c r="B14" s="1217" t="s">
        <v>1229</v>
      </c>
      <c r="C14" s="1218" t="s">
        <v>1229</v>
      </c>
      <c r="D14" s="1216" t="str">
        <f t="shared" si="1"/>
        <v>-</v>
      </c>
      <c r="E14" s="1">
        <v>229693</v>
      </c>
      <c r="F14" s="68">
        <v>218624</v>
      </c>
      <c r="G14" s="1216">
        <f t="shared" si="2"/>
        <v>448317</v>
      </c>
      <c r="H14" s="73">
        <f t="shared" si="3"/>
        <v>229693</v>
      </c>
      <c r="I14" s="83">
        <f t="shared" si="3"/>
        <v>218624</v>
      </c>
      <c r="J14" s="1216">
        <f t="shared" si="4"/>
        <v>448317</v>
      </c>
    </row>
    <row r="15" spans="1:10" ht="12" customHeight="1">
      <c r="A15" s="1226" t="s">
        <v>1217</v>
      </c>
      <c r="B15" s="1217" t="s">
        <v>1229</v>
      </c>
      <c r="C15" s="1218" t="s">
        <v>1229</v>
      </c>
      <c r="D15" s="1216" t="str">
        <f t="shared" si="1"/>
        <v>-</v>
      </c>
      <c r="E15" s="1">
        <v>18940</v>
      </c>
      <c r="F15" s="68">
        <v>18107</v>
      </c>
      <c r="G15" s="1216">
        <f t="shared" si="2"/>
        <v>37047</v>
      </c>
      <c r="H15" s="73">
        <f t="shared" si="3"/>
        <v>18940</v>
      </c>
      <c r="I15" s="83">
        <f t="shared" si="3"/>
        <v>18107</v>
      </c>
      <c r="J15" s="1216">
        <f t="shared" si="4"/>
        <v>37047</v>
      </c>
    </row>
    <row r="16" spans="1:10" ht="12" customHeight="1">
      <c r="A16" s="1227" t="s">
        <v>314</v>
      </c>
      <c r="B16" s="1214">
        <f t="shared" ref="B16:J16" si="5">SUM(B17:B26)</f>
        <v>847247</v>
      </c>
      <c r="C16" s="175">
        <f t="shared" si="5"/>
        <v>805175</v>
      </c>
      <c r="D16" s="187">
        <f t="shared" si="5"/>
        <v>1652422</v>
      </c>
      <c r="E16" s="1214">
        <f t="shared" si="5"/>
        <v>377831</v>
      </c>
      <c r="F16" s="175">
        <f t="shared" si="5"/>
        <v>366393</v>
      </c>
      <c r="G16" s="187">
        <f t="shared" si="5"/>
        <v>744224</v>
      </c>
      <c r="H16" s="145">
        <f t="shared" si="5"/>
        <v>1225078</v>
      </c>
      <c r="I16" s="175">
        <f t="shared" si="5"/>
        <v>1171568</v>
      </c>
      <c r="J16" s="187">
        <f t="shared" si="5"/>
        <v>2396646</v>
      </c>
    </row>
    <row r="17" spans="1:10" ht="12" customHeight="1">
      <c r="A17" s="1226" t="s">
        <v>1218</v>
      </c>
      <c r="B17" s="1">
        <v>89706</v>
      </c>
      <c r="C17" s="68">
        <v>86007</v>
      </c>
      <c r="D17" s="1216">
        <f t="shared" ref="D17:D26" si="6">IF(SUM(B17,C17)=0,"-",SUM(B17,C17))</f>
        <v>175713</v>
      </c>
      <c r="E17" s="1">
        <v>22532</v>
      </c>
      <c r="F17" s="68">
        <v>21618</v>
      </c>
      <c r="G17" s="1216">
        <f t="shared" ref="G17:G26" si="7">IF(SUM(E17,F17)=0,"-",SUM(E17,F17))</f>
        <v>44150</v>
      </c>
      <c r="H17" s="73">
        <f t="shared" ref="H17:H26" si="8">IF(SUM(B17,E17)=0,"-",SUM(B17,E17))</f>
        <v>112238</v>
      </c>
      <c r="I17" s="83">
        <f t="shared" ref="I17:I26" si="9">IF(SUM(C17,F17)=0,"-",SUM(C17,F17))</f>
        <v>107625</v>
      </c>
      <c r="J17" s="1216">
        <f t="shared" ref="J17:J26" si="10">IF(SUM(H17,I17)=0,"-",SUM(H17,I17))</f>
        <v>219863</v>
      </c>
    </row>
    <row r="18" spans="1:10" ht="12" customHeight="1">
      <c r="A18" s="1226" t="s">
        <v>759</v>
      </c>
      <c r="B18" s="1">
        <v>111367</v>
      </c>
      <c r="C18" s="68">
        <v>105462</v>
      </c>
      <c r="D18" s="1216">
        <f t="shared" si="6"/>
        <v>216829</v>
      </c>
      <c r="E18" s="1">
        <v>23599</v>
      </c>
      <c r="F18" s="68">
        <v>22723</v>
      </c>
      <c r="G18" s="1216">
        <f t="shared" si="7"/>
        <v>46322</v>
      </c>
      <c r="H18" s="73">
        <f t="shared" si="8"/>
        <v>134966</v>
      </c>
      <c r="I18" s="83">
        <f t="shared" si="9"/>
        <v>128185</v>
      </c>
      <c r="J18" s="1216">
        <f t="shared" si="10"/>
        <v>263151</v>
      </c>
    </row>
    <row r="19" spans="1:10" ht="12" customHeight="1">
      <c r="A19" s="1226" t="s">
        <v>760</v>
      </c>
      <c r="B19" s="1">
        <v>122545</v>
      </c>
      <c r="C19" s="68">
        <v>117239</v>
      </c>
      <c r="D19" s="1216">
        <f t="shared" si="6"/>
        <v>239784</v>
      </c>
      <c r="E19" s="1">
        <v>6313</v>
      </c>
      <c r="F19" s="68">
        <v>6067</v>
      </c>
      <c r="G19" s="1216">
        <f t="shared" si="7"/>
        <v>12380</v>
      </c>
      <c r="H19" s="73">
        <f t="shared" si="8"/>
        <v>128858</v>
      </c>
      <c r="I19" s="83">
        <f t="shared" si="9"/>
        <v>123306</v>
      </c>
      <c r="J19" s="1216">
        <f t="shared" si="10"/>
        <v>252164</v>
      </c>
    </row>
    <row r="20" spans="1:10" ht="12" customHeight="1">
      <c r="A20" s="1226" t="s">
        <v>1194</v>
      </c>
      <c r="B20" s="1">
        <v>117562</v>
      </c>
      <c r="C20" s="68">
        <v>111491</v>
      </c>
      <c r="D20" s="1216">
        <f t="shared" si="6"/>
        <v>229053</v>
      </c>
      <c r="E20" s="1217" t="s">
        <v>1229</v>
      </c>
      <c r="F20" s="1218" t="s">
        <v>1229</v>
      </c>
      <c r="G20" s="1216" t="str">
        <f t="shared" si="7"/>
        <v>-</v>
      </c>
      <c r="H20" s="73">
        <f t="shared" si="8"/>
        <v>117562</v>
      </c>
      <c r="I20" s="83">
        <f t="shared" si="9"/>
        <v>111491</v>
      </c>
      <c r="J20" s="1216">
        <f t="shared" si="10"/>
        <v>229053</v>
      </c>
    </row>
    <row r="21" spans="1:10" ht="12" customHeight="1">
      <c r="A21" s="1226" t="s">
        <v>1221</v>
      </c>
      <c r="B21" s="1">
        <v>161643</v>
      </c>
      <c r="C21" s="68">
        <v>154164</v>
      </c>
      <c r="D21" s="1216">
        <f t="shared" si="6"/>
        <v>315807</v>
      </c>
      <c r="E21" s="1">
        <v>59557</v>
      </c>
      <c r="F21" s="68">
        <v>57755</v>
      </c>
      <c r="G21" s="1216">
        <f t="shared" si="7"/>
        <v>117312</v>
      </c>
      <c r="H21" s="73">
        <f t="shared" si="8"/>
        <v>221200</v>
      </c>
      <c r="I21" s="83">
        <f t="shared" si="9"/>
        <v>211919</v>
      </c>
      <c r="J21" s="1216">
        <f t="shared" si="10"/>
        <v>433119</v>
      </c>
    </row>
    <row r="22" spans="1:10" ht="12" customHeight="1">
      <c r="A22" s="1226" t="s">
        <v>761</v>
      </c>
      <c r="B22" s="1">
        <v>117229</v>
      </c>
      <c r="C22" s="68">
        <v>111299</v>
      </c>
      <c r="D22" s="1216">
        <f t="shared" si="6"/>
        <v>228528</v>
      </c>
      <c r="E22" s="1">
        <v>10473</v>
      </c>
      <c r="F22" s="68">
        <v>10169</v>
      </c>
      <c r="G22" s="1216">
        <f t="shared" si="7"/>
        <v>20642</v>
      </c>
      <c r="H22" s="73">
        <f t="shared" si="8"/>
        <v>127702</v>
      </c>
      <c r="I22" s="83">
        <f t="shared" si="9"/>
        <v>121468</v>
      </c>
      <c r="J22" s="1216">
        <f t="shared" si="10"/>
        <v>249170</v>
      </c>
    </row>
    <row r="23" spans="1:10" ht="12" customHeight="1">
      <c r="A23" s="1226" t="s">
        <v>762</v>
      </c>
      <c r="B23" s="1">
        <v>127195</v>
      </c>
      <c r="C23" s="68">
        <v>119513</v>
      </c>
      <c r="D23" s="1216">
        <f t="shared" si="6"/>
        <v>246708</v>
      </c>
      <c r="E23" s="777" t="s">
        <v>1229</v>
      </c>
      <c r="F23" s="83" t="s">
        <v>1229</v>
      </c>
      <c r="G23" s="1216" t="str">
        <f t="shared" si="7"/>
        <v>-</v>
      </c>
      <c r="H23" s="73">
        <f t="shared" si="8"/>
        <v>127195</v>
      </c>
      <c r="I23" s="83">
        <f t="shared" si="9"/>
        <v>119513</v>
      </c>
      <c r="J23" s="1216">
        <f t="shared" si="10"/>
        <v>246708</v>
      </c>
    </row>
    <row r="24" spans="1:10" ht="12" customHeight="1">
      <c r="A24" s="1226" t="s">
        <v>836</v>
      </c>
      <c r="B24" s="1217" t="s">
        <v>1229</v>
      </c>
      <c r="C24" s="1218" t="s">
        <v>1229</v>
      </c>
      <c r="D24" s="1216" t="str">
        <f t="shared" si="6"/>
        <v>-</v>
      </c>
      <c r="E24" s="1">
        <v>13234</v>
      </c>
      <c r="F24" s="68">
        <v>12688</v>
      </c>
      <c r="G24" s="1216">
        <f t="shared" si="7"/>
        <v>25922</v>
      </c>
      <c r="H24" s="73">
        <f t="shared" si="8"/>
        <v>13234</v>
      </c>
      <c r="I24" s="83">
        <f t="shared" si="9"/>
        <v>12688</v>
      </c>
      <c r="J24" s="1216">
        <f t="shared" si="10"/>
        <v>25922</v>
      </c>
    </row>
    <row r="25" spans="1:10" ht="12" customHeight="1">
      <c r="A25" s="1226" t="s">
        <v>1222</v>
      </c>
      <c r="B25" s="1217" t="s">
        <v>1229</v>
      </c>
      <c r="C25" s="1219" t="s">
        <v>1229</v>
      </c>
      <c r="D25" s="1216" t="str">
        <f t="shared" si="6"/>
        <v>-</v>
      </c>
      <c r="E25" s="1">
        <v>26718</v>
      </c>
      <c r="F25" s="68">
        <v>26410</v>
      </c>
      <c r="G25" s="1216">
        <f t="shared" si="7"/>
        <v>53128</v>
      </c>
      <c r="H25" s="73">
        <f t="shared" si="8"/>
        <v>26718</v>
      </c>
      <c r="I25" s="83">
        <f t="shared" si="9"/>
        <v>26410</v>
      </c>
      <c r="J25" s="1216">
        <f t="shared" si="10"/>
        <v>53128</v>
      </c>
    </row>
    <row r="26" spans="1:10" ht="12" customHeight="1">
      <c r="A26" s="1226" t="s">
        <v>1736</v>
      </c>
      <c r="B26" s="1217" t="s">
        <v>1229</v>
      </c>
      <c r="C26" s="1218" t="s">
        <v>1229</v>
      </c>
      <c r="D26" s="1216" t="str">
        <f t="shared" si="6"/>
        <v>-</v>
      </c>
      <c r="E26" s="1">
        <v>215405</v>
      </c>
      <c r="F26" s="68">
        <v>208963</v>
      </c>
      <c r="G26" s="1216">
        <f t="shared" si="7"/>
        <v>424368</v>
      </c>
      <c r="H26" s="73">
        <f t="shared" si="8"/>
        <v>215405</v>
      </c>
      <c r="I26" s="83">
        <f t="shared" si="9"/>
        <v>208963</v>
      </c>
      <c r="J26" s="1216">
        <f t="shared" si="10"/>
        <v>424368</v>
      </c>
    </row>
    <row r="27" spans="1:10" ht="12" customHeight="1">
      <c r="A27" s="219" t="s">
        <v>315</v>
      </c>
      <c r="B27" s="1220">
        <f t="shared" ref="B27:J27" si="11">IF(SUM(B28:B31)=0,"-",SUM(B28:B31))</f>
        <v>509213</v>
      </c>
      <c r="C27" s="1221">
        <f t="shared" si="11"/>
        <v>490316</v>
      </c>
      <c r="D27" s="218">
        <f t="shared" si="11"/>
        <v>999529</v>
      </c>
      <c r="E27" s="1220">
        <f t="shared" si="11"/>
        <v>71540</v>
      </c>
      <c r="F27" s="1221">
        <f t="shared" si="11"/>
        <v>69493</v>
      </c>
      <c r="G27" s="218">
        <f t="shared" si="11"/>
        <v>141033</v>
      </c>
      <c r="H27" s="184">
        <f t="shared" si="11"/>
        <v>580753</v>
      </c>
      <c r="I27" s="1221">
        <f t="shared" si="11"/>
        <v>559809</v>
      </c>
      <c r="J27" s="218">
        <f t="shared" si="11"/>
        <v>1140562</v>
      </c>
    </row>
    <row r="28" spans="1:10" ht="12" customHeight="1">
      <c r="A28" s="1226" t="s">
        <v>1223</v>
      </c>
      <c r="B28" s="1">
        <v>92684</v>
      </c>
      <c r="C28" s="68">
        <v>88824</v>
      </c>
      <c r="D28" s="1216">
        <f>IF(SUM(B28,C28)=0,"-",SUM(B28,C28))</f>
        <v>181508</v>
      </c>
      <c r="E28" s="1">
        <v>62442</v>
      </c>
      <c r="F28" s="68">
        <v>60774</v>
      </c>
      <c r="G28" s="1216">
        <f>IF(SUM(E28,F28)=0,"-",SUM(E28,F28))</f>
        <v>123216</v>
      </c>
      <c r="H28" s="73">
        <f t="shared" ref="H28:I31" si="12">IF(SUM(B28,E28)=0,"-",SUM(B28,E28))</f>
        <v>155126</v>
      </c>
      <c r="I28" s="83">
        <f t="shared" si="12"/>
        <v>149598</v>
      </c>
      <c r="J28" s="1216">
        <f>IF(SUM(H28,I28)=0,"-",SUM(H28,I28))</f>
        <v>304724</v>
      </c>
    </row>
    <row r="29" spans="1:10" ht="12" customHeight="1">
      <c r="A29" s="1226" t="s">
        <v>1224</v>
      </c>
      <c r="B29" s="1">
        <v>122787</v>
      </c>
      <c r="C29" s="68">
        <v>118544</v>
      </c>
      <c r="D29" s="1216">
        <f>IF(SUM(B29,C29)=0,"-",SUM(B29,C29))</f>
        <v>241331</v>
      </c>
      <c r="E29" s="1">
        <v>5651</v>
      </c>
      <c r="F29" s="68">
        <v>5541</v>
      </c>
      <c r="G29" s="1216">
        <f>IF(SUM(E29,F29)=0,"-",SUM(E29,F29))</f>
        <v>11192</v>
      </c>
      <c r="H29" s="73">
        <f t="shared" si="12"/>
        <v>128438</v>
      </c>
      <c r="I29" s="83">
        <f t="shared" si="12"/>
        <v>124085</v>
      </c>
      <c r="J29" s="1216">
        <f>IF(SUM(H29,I29)=0,"-",SUM(H29,I29))</f>
        <v>252523</v>
      </c>
    </row>
    <row r="30" spans="1:10" ht="12" customHeight="1">
      <c r="A30" s="1226" t="s">
        <v>1197</v>
      </c>
      <c r="B30" s="1">
        <v>167832</v>
      </c>
      <c r="C30" s="68">
        <v>162260</v>
      </c>
      <c r="D30" s="1216">
        <f>IF(SUM(B30,C30)=0,"-",SUM(B30,C30))</f>
        <v>330092</v>
      </c>
      <c r="E30" s="1">
        <v>3447</v>
      </c>
      <c r="F30" s="68">
        <v>3178</v>
      </c>
      <c r="G30" s="1216">
        <f>IF(SUM(E30,F30)=0,"-",SUM(E30,F30))</f>
        <v>6625</v>
      </c>
      <c r="H30" s="73">
        <f t="shared" si="12"/>
        <v>171279</v>
      </c>
      <c r="I30" s="83">
        <f t="shared" si="12"/>
        <v>165438</v>
      </c>
      <c r="J30" s="1216">
        <f>IF(SUM(H30,I30)=0,"-",SUM(H30,I30))</f>
        <v>336717</v>
      </c>
    </row>
    <row r="31" spans="1:10" ht="12" customHeight="1">
      <c r="A31" s="1226" t="s">
        <v>1198</v>
      </c>
      <c r="B31" s="1">
        <v>125910</v>
      </c>
      <c r="C31" s="68">
        <v>120688</v>
      </c>
      <c r="D31" s="1216">
        <f>IF(SUM(B31,C31)=0,"-",SUM(B31,C31))</f>
        <v>246598</v>
      </c>
      <c r="E31" s="1217" t="s">
        <v>1229</v>
      </c>
      <c r="F31" s="1218" t="s">
        <v>1229</v>
      </c>
      <c r="G31" s="1216" t="str">
        <f>IF(SUM(E31,F31)=0,"-",SUM(E31,F31))</f>
        <v>-</v>
      </c>
      <c r="H31" s="73">
        <f t="shared" si="12"/>
        <v>125910</v>
      </c>
      <c r="I31" s="83">
        <f t="shared" si="12"/>
        <v>120688</v>
      </c>
      <c r="J31" s="1216">
        <f>IF(SUM(H31,I31)=0,"-",SUM(H31,I31))</f>
        <v>246598</v>
      </c>
    </row>
    <row r="32" spans="1:10" ht="12" customHeight="1">
      <c r="A32" s="220" t="s">
        <v>25</v>
      </c>
      <c r="B32" s="1220">
        <f t="shared" ref="B32:J32" si="13">SUM(B33:B42)</f>
        <v>930771</v>
      </c>
      <c r="C32" s="1221">
        <f t="shared" si="13"/>
        <v>884442</v>
      </c>
      <c r="D32" s="218">
        <f t="shared" si="13"/>
        <v>1815213</v>
      </c>
      <c r="E32" s="1220">
        <f t="shared" si="13"/>
        <v>158968</v>
      </c>
      <c r="F32" s="1221">
        <f t="shared" si="13"/>
        <v>151577</v>
      </c>
      <c r="G32" s="218">
        <f t="shared" si="13"/>
        <v>310545</v>
      </c>
      <c r="H32" s="184">
        <f t="shared" si="13"/>
        <v>1089739</v>
      </c>
      <c r="I32" s="1221">
        <f t="shared" si="13"/>
        <v>1036019</v>
      </c>
      <c r="J32" s="218">
        <f t="shared" si="13"/>
        <v>2125758</v>
      </c>
    </row>
    <row r="33" spans="1:10" ht="12" customHeight="1">
      <c r="A33" s="1226" t="s">
        <v>1225</v>
      </c>
      <c r="B33" s="1">
        <v>104329</v>
      </c>
      <c r="C33" s="68">
        <v>99508</v>
      </c>
      <c r="D33" s="1216">
        <f t="shared" ref="D33:D42" si="14">IF(SUM(B33,C33)=0,"-",SUM(B33,C33))</f>
        <v>203837</v>
      </c>
      <c r="E33" s="1">
        <v>33823</v>
      </c>
      <c r="F33" s="68">
        <v>31834</v>
      </c>
      <c r="G33" s="1216">
        <f t="shared" ref="G33:G42" si="15">IF(SUM(E33,F33)=0,"-",SUM(E33,F33))</f>
        <v>65657</v>
      </c>
      <c r="H33" s="73">
        <f t="shared" ref="H33:H42" si="16">IF(SUM(B33,E33)=0,"-",SUM(B33,E33))</f>
        <v>138152</v>
      </c>
      <c r="I33" s="83">
        <f t="shared" ref="I33:I42" si="17">IF(SUM(C33,F33)=0,"-",SUM(C33,F33))</f>
        <v>131342</v>
      </c>
      <c r="J33" s="1216">
        <f t="shared" ref="J33:J42" si="18">IF(SUM(H33,I33)=0,"-",SUM(H33,I33))</f>
        <v>269494</v>
      </c>
    </row>
    <row r="34" spans="1:10" ht="12" customHeight="1">
      <c r="A34" s="1226" t="s">
        <v>1226</v>
      </c>
      <c r="B34" s="1">
        <v>112441</v>
      </c>
      <c r="C34" s="68">
        <v>106063</v>
      </c>
      <c r="D34" s="1216">
        <f t="shared" si="14"/>
        <v>218504</v>
      </c>
      <c r="E34" s="1">
        <v>44127</v>
      </c>
      <c r="F34" s="68">
        <v>42113</v>
      </c>
      <c r="G34" s="1216">
        <f t="shared" si="15"/>
        <v>86240</v>
      </c>
      <c r="H34" s="73">
        <f t="shared" si="16"/>
        <v>156568</v>
      </c>
      <c r="I34" s="83">
        <f t="shared" si="17"/>
        <v>148176</v>
      </c>
      <c r="J34" s="1216">
        <f t="shared" si="18"/>
        <v>304744</v>
      </c>
    </row>
    <row r="35" spans="1:10" ht="12" customHeight="1">
      <c r="A35" s="1226" t="s">
        <v>837</v>
      </c>
      <c r="B35" s="1">
        <v>97208</v>
      </c>
      <c r="C35" s="68">
        <v>91787</v>
      </c>
      <c r="D35" s="1216">
        <f t="shared" si="14"/>
        <v>188995</v>
      </c>
      <c r="E35" s="1">
        <v>12897</v>
      </c>
      <c r="F35" s="68">
        <v>12158</v>
      </c>
      <c r="G35" s="1216">
        <f t="shared" si="15"/>
        <v>25055</v>
      </c>
      <c r="H35" s="73">
        <f t="shared" si="16"/>
        <v>110105</v>
      </c>
      <c r="I35" s="83">
        <f t="shared" si="17"/>
        <v>103945</v>
      </c>
      <c r="J35" s="1216">
        <f t="shared" si="18"/>
        <v>214050</v>
      </c>
    </row>
    <row r="36" spans="1:10" ht="12" customHeight="1">
      <c r="A36" s="1226" t="s">
        <v>1203</v>
      </c>
      <c r="B36" s="1">
        <v>136359</v>
      </c>
      <c r="C36" s="68">
        <v>130286</v>
      </c>
      <c r="D36" s="1216">
        <f t="shared" si="14"/>
        <v>266645</v>
      </c>
      <c r="E36" s="1">
        <v>8414</v>
      </c>
      <c r="F36" s="68">
        <v>8138</v>
      </c>
      <c r="G36" s="1216">
        <f t="shared" si="15"/>
        <v>16552</v>
      </c>
      <c r="H36" s="73">
        <f t="shared" si="16"/>
        <v>144773</v>
      </c>
      <c r="I36" s="83">
        <f t="shared" si="17"/>
        <v>138424</v>
      </c>
      <c r="J36" s="1216">
        <f t="shared" si="18"/>
        <v>283197</v>
      </c>
    </row>
    <row r="37" spans="1:10" ht="12" customHeight="1">
      <c r="A37" s="1226" t="s">
        <v>1204</v>
      </c>
      <c r="B37" s="1">
        <v>115725</v>
      </c>
      <c r="C37" s="68">
        <v>110437</v>
      </c>
      <c r="D37" s="1216">
        <f t="shared" si="14"/>
        <v>226162</v>
      </c>
      <c r="E37" s="1">
        <v>11940</v>
      </c>
      <c r="F37" s="68">
        <v>11459</v>
      </c>
      <c r="G37" s="1216">
        <f t="shared" si="15"/>
        <v>23399</v>
      </c>
      <c r="H37" s="73">
        <f t="shared" si="16"/>
        <v>127665</v>
      </c>
      <c r="I37" s="83">
        <f t="shared" si="17"/>
        <v>121896</v>
      </c>
      <c r="J37" s="1216">
        <f t="shared" si="18"/>
        <v>249561</v>
      </c>
    </row>
    <row r="38" spans="1:10" ht="12" customHeight="1">
      <c r="A38" s="1226" t="s">
        <v>1744</v>
      </c>
      <c r="B38" s="1">
        <v>69031</v>
      </c>
      <c r="C38" s="68">
        <v>66129</v>
      </c>
      <c r="D38" s="1216">
        <f t="shared" si="14"/>
        <v>135160</v>
      </c>
      <c r="E38" s="1">
        <v>10785</v>
      </c>
      <c r="F38" s="68">
        <v>10221</v>
      </c>
      <c r="G38" s="1216">
        <f t="shared" si="15"/>
        <v>21006</v>
      </c>
      <c r="H38" s="73">
        <f t="shared" si="16"/>
        <v>79816</v>
      </c>
      <c r="I38" s="83">
        <f t="shared" si="17"/>
        <v>76350</v>
      </c>
      <c r="J38" s="1216">
        <f t="shared" si="18"/>
        <v>156166</v>
      </c>
    </row>
    <row r="39" spans="1:10" ht="12" customHeight="1">
      <c r="A39" s="1226" t="s">
        <v>1745</v>
      </c>
      <c r="B39" s="1">
        <v>95134</v>
      </c>
      <c r="C39" s="68">
        <v>90674</v>
      </c>
      <c r="D39" s="1216">
        <f t="shared" si="14"/>
        <v>185808</v>
      </c>
      <c r="E39" s="1">
        <v>2552</v>
      </c>
      <c r="F39" s="68">
        <v>2441</v>
      </c>
      <c r="G39" s="1216">
        <f t="shared" si="15"/>
        <v>4993</v>
      </c>
      <c r="H39" s="73">
        <f t="shared" si="16"/>
        <v>97686</v>
      </c>
      <c r="I39" s="83">
        <f t="shared" si="17"/>
        <v>93115</v>
      </c>
      <c r="J39" s="1216">
        <f t="shared" si="18"/>
        <v>190801</v>
      </c>
    </row>
    <row r="40" spans="1:10" ht="12" customHeight="1">
      <c r="A40" s="1226" t="s">
        <v>1227</v>
      </c>
      <c r="B40" s="1">
        <v>86713</v>
      </c>
      <c r="C40" s="68">
        <v>82550</v>
      </c>
      <c r="D40" s="1216">
        <f t="shared" si="14"/>
        <v>169263</v>
      </c>
      <c r="E40" s="1">
        <v>13380</v>
      </c>
      <c r="F40" s="68">
        <v>12461</v>
      </c>
      <c r="G40" s="1216">
        <f t="shared" si="15"/>
        <v>25841</v>
      </c>
      <c r="H40" s="73">
        <f t="shared" si="16"/>
        <v>100093</v>
      </c>
      <c r="I40" s="83">
        <f t="shared" si="17"/>
        <v>95011</v>
      </c>
      <c r="J40" s="1216">
        <f t="shared" si="18"/>
        <v>195104</v>
      </c>
    </row>
    <row r="41" spans="1:10" ht="12" customHeight="1">
      <c r="A41" s="1226" t="s">
        <v>1228</v>
      </c>
      <c r="B41" s="1">
        <v>113831</v>
      </c>
      <c r="C41" s="68">
        <v>107008</v>
      </c>
      <c r="D41" s="1216">
        <f t="shared" si="14"/>
        <v>220839</v>
      </c>
      <c r="E41" s="1217" t="s">
        <v>1229</v>
      </c>
      <c r="F41" s="1218" t="s">
        <v>1229</v>
      </c>
      <c r="G41" s="1216" t="str">
        <f t="shared" si="15"/>
        <v>-</v>
      </c>
      <c r="H41" s="73">
        <f t="shared" si="16"/>
        <v>113831</v>
      </c>
      <c r="I41" s="83">
        <f t="shared" si="17"/>
        <v>107008</v>
      </c>
      <c r="J41" s="1216">
        <f t="shared" si="18"/>
        <v>220839</v>
      </c>
    </row>
    <row r="42" spans="1:10" ht="12" customHeight="1">
      <c r="A42" s="1226" t="s">
        <v>863</v>
      </c>
      <c r="B42" s="1217" t="s">
        <v>1229</v>
      </c>
      <c r="C42" s="1218" t="s">
        <v>1229</v>
      </c>
      <c r="D42" s="1216" t="str">
        <f t="shared" si="14"/>
        <v>-</v>
      </c>
      <c r="E42" s="1">
        <v>21050</v>
      </c>
      <c r="F42" s="68">
        <v>20752</v>
      </c>
      <c r="G42" s="1216">
        <f t="shared" si="15"/>
        <v>41802</v>
      </c>
      <c r="H42" s="73">
        <f t="shared" si="16"/>
        <v>21050</v>
      </c>
      <c r="I42" s="83">
        <f t="shared" si="17"/>
        <v>20752</v>
      </c>
      <c r="J42" s="1216">
        <f t="shared" si="18"/>
        <v>41802</v>
      </c>
    </row>
    <row r="43" spans="1:10" ht="12" customHeight="1">
      <c r="A43" s="1227" t="s">
        <v>317</v>
      </c>
      <c r="B43" s="1220">
        <f>SUM(B44:B47)</f>
        <v>516361</v>
      </c>
      <c r="C43" s="1221">
        <f>SUM(C44:C47)</f>
        <v>492292</v>
      </c>
      <c r="D43" s="218">
        <f>SUM(D44:D47)</f>
        <v>1008653</v>
      </c>
      <c r="E43" s="1220" t="str">
        <f>IF(SUM(E44:E47)=0,"-",SUM(E44:E47))</f>
        <v>-</v>
      </c>
      <c r="F43" s="1221" t="str">
        <f>IF(SUM(F44:F47)=0,"-",SUM(F44:F47))</f>
        <v>-</v>
      </c>
      <c r="G43" s="218" t="str">
        <f>IF(SUM(G44:G47)=0,"-",SUM(G44:G47))</f>
        <v>-</v>
      </c>
      <c r="H43" s="184">
        <f>SUM(H44:H47)</f>
        <v>516361</v>
      </c>
      <c r="I43" s="1221">
        <f>SUM(I44:I47)</f>
        <v>492292</v>
      </c>
      <c r="J43" s="218">
        <f>SUM(J44:J47)</f>
        <v>1008653</v>
      </c>
    </row>
    <row r="44" spans="1:10" ht="12" customHeight="1">
      <c r="A44" s="1226" t="s">
        <v>1205</v>
      </c>
      <c r="B44" s="1">
        <v>144120</v>
      </c>
      <c r="C44" s="68">
        <v>137843</v>
      </c>
      <c r="D44" s="1216">
        <f>IF(SUM(B44,C44)=0,"-",SUM(B44,C44))</f>
        <v>281963</v>
      </c>
      <c r="E44" s="1217" t="s">
        <v>1229</v>
      </c>
      <c r="F44" s="1218" t="s">
        <v>1229</v>
      </c>
      <c r="G44" s="1216" t="str">
        <f>IF(SUM(E44,F44)=0,"-",SUM(E44,F44))</f>
        <v>-</v>
      </c>
      <c r="H44" s="73">
        <f t="shared" ref="H44:I48" si="19">IF(SUM(B44,E44)=0,"-",SUM(B44,E44))</f>
        <v>144120</v>
      </c>
      <c r="I44" s="83">
        <f t="shared" si="19"/>
        <v>137843</v>
      </c>
      <c r="J44" s="1216">
        <f>IF(SUM(H44,I44)=0,"-",SUM(H44,I44))</f>
        <v>281963</v>
      </c>
    </row>
    <row r="45" spans="1:10" ht="12" customHeight="1">
      <c r="A45" s="1226" t="s">
        <v>1206</v>
      </c>
      <c r="B45" s="1">
        <v>93351</v>
      </c>
      <c r="C45" s="68">
        <v>89479</v>
      </c>
      <c r="D45" s="1216">
        <f>IF(SUM(B45,C45)=0,"-",SUM(B45,C45))</f>
        <v>182830</v>
      </c>
      <c r="E45" s="1217" t="s">
        <v>1229</v>
      </c>
      <c r="F45" s="1218" t="s">
        <v>1229</v>
      </c>
      <c r="G45" s="1216" t="str">
        <f>IF(SUM(E45,F45)=0,"-",SUM(E45,F45))</f>
        <v>-</v>
      </c>
      <c r="H45" s="73">
        <f t="shared" si="19"/>
        <v>93351</v>
      </c>
      <c r="I45" s="83">
        <f t="shared" si="19"/>
        <v>89479</v>
      </c>
      <c r="J45" s="1216">
        <f>IF(SUM(H45,I45)=0,"-",SUM(H45,I45))</f>
        <v>182830</v>
      </c>
    </row>
    <row r="46" spans="1:10" ht="12" customHeight="1">
      <c r="A46" s="1226" t="s">
        <v>1207</v>
      </c>
      <c r="B46" s="1">
        <v>109468</v>
      </c>
      <c r="C46" s="68">
        <v>102569</v>
      </c>
      <c r="D46" s="1216">
        <f>IF(SUM(B46,C46)=0,"-",SUM(B46,C46))</f>
        <v>212037</v>
      </c>
      <c r="E46" s="1217" t="s">
        <v>1229</v>
      </c>
      <c r="F46" s="1218" t="s">
        <v>1229</v>
      </c>
      <c r="G46" s="1216" t="str">
        <f>IF(SUM(E46,F46)=0,"-",SUM(E46,F46))</f>
        <v>-</v>
      </c>
      <c r="H46" s="73">
        <f t="shared" si="19"/>
        <v>109468</v>
      </c>
      <c r="I46" s="83">
        <f t="shared" si="19"/>
        <v>102569</v>
      </c>
      <c r="J46" s="1216">
        <f>IF(SUM(H46,I46)=0,"-",SUM(H46,I46))</f>
        <v>212037</v>
      </c>
    </row>
    <row r="47" spans="1:10" ht="12" customHeight="1">
      <c r="A47" s="1226" t="s">
        <v>1208</v>
      </c>
      <c r="B47" s="1">
        <v>169422</v>
      </c>
      <c r="C47" s="69">
        <v>162401</v>
      </c>
      <c r="D47" s="1216">
        <f>IF(SUM(B47,C47)=0,"-",SUM(B47,C47))</f>
        <v>331823</v>
      </c>
      <c r="E47" s="1217" t="s">
        <v>1229</v>
      </c>
      <c r="F47" s="1431" t="s">
        <v>1229</v>
      </c>
      <c r="G47" s="1216" t="str">
        <f>IF(SUM(E47,F47)=0,"-",SUM(E47,F47))</f>
        <v>-</v>
      </c>
      <c r="H47" s="73">
        <f t="shared" si="19"/>
        <v>169422</v>
      </c>
      <c r="I47" s="83">
        <f t="shared" si="19"/>
        <v>162401</v>
      </c>
      <c r="J47" s="1216">
        <f>IF(SUM(H47,I47)=0,"-",SUM(H47,I47))</f>
        <v>331823</v>
      </c>
    </row>
    <row r="48" spans="1:10" ht="12" customHeight="1">
      <c r="A48" s="1228" t="s">
        <v>252</v>
      </c>
      <c r="B48" s="1222">
        <f>SUM(B7,B16,B27,B32,B43)</f>
        <v>3109219</v>
      </c>
      <c r="C48" s="1223">
        <f>SUM(C7,C16,C27,C32,C43)</f>
        <v>2964969</v>
      </c>
      <c r="D48" s="1224">
        <f>SUM(B48,C48)</f>
        <v>6074188</v>
      </c>
      <c r="E48" s="1222">
        <f>SUM(E7,E16,E27,E32,E43)</f>
        <v>1064559</v>
      </c>
      <c r="F48" s="1223">
        <f>SUM(F7,F16,F27,F32,F43)</f>
        <v>1023214</v>
      </c>
      <c r="G48" s="1224">
        <f>SUM(E48,F48)</f>
        <v>2087773</v>
      </c>
      <c r="H48" s="1225">
        <f t="shared" si="19"/>
        <v>4173778</v>
      </c>
      <c r="I48" s="1223">
        <f t="shared" si="19"/>
        <v>3988183</v>
      </c>
      <c r="J48" s="1224">
        <f>SUM(H48,I48)</f>
        <v>8161961</v>
      </c>
    </row>
    <row r="49" spans="10:10">
      <c r="J49" s="1008" t="s">
        <v>1186</v>
      </c>
    </row>
  </sheetData>
  <mergeCells count="6">
    <mergeCell ref="A1:J1"/>
    <mergeCell ref="A2:J2"/>
    <mergeCell ref="E4:G4"/>
    <mergeCell ref="H4:J4"/>
    <mergeCell ref="A4:A5"/>
    <mergeCell ref="B4:D4"/>
  </mergeCells>
  <phoneticPr fontId="0" type="noConversion"/>
  <printOptions horizontalCentered="1"/>
  <pageMargins left="0.1" right="0.1" top="0.34" bottom="0.1" header="0.34" footer="0.1"/>
  <pageSetup paperSize="9" scale="95"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dimension ref="A1:S27"/>
  <sheetViews>
    <sheetView workbookViewId="0">
      <selection activeCell="J11" sqref="J11"/>
    </sheetView>
  </sheetViews>
  <sheetFormatPr defaultRowHeight="12.75"/>
  <cols>
    <col min="1" max="1" width="10.140625" customWidth="1"/>
    <col min="2" max="19" width="7" customWidth="1"/>
  </cols>
  <sheetData>
    <row r="1" spans="1:19" ht="14.25" customHeight="1">
      <c r="A1" s="1708" t="s">
        <v>344</v>
      </c>
      <c r="B1" s="1708"/>
      <c r="C1" s="1708"/>
      <c r="D1" s="1708"/>
      <c r="E1" s="1708"/>
      <c r="F1" s="1708"/>
      <c r="G1" s="1708"/>
      <c r="H1" s="1708"/>
      <c r="I1" s="1708"/>
      <c r="J1" s="1708"/>
      <c r="K1" s="1708"/>
      <c r="L1" s="1708"/>
      <c r="M1" s="1708"/>
      <c r="N1" s="1708"/>
      <c r="O1" s="1708"/>
      <c r="P1" s="1708"/>
      <c r="Q1" s="1708"/>
      <c r="R1" s="1708"/>
      <c r="S1" s="1708"/>
    </row>
    <row r="2" spans="1:19" ht="17.25" customHeight="1">
      <c r="A2" s="1781" t="str">
        <f>CONCATENATE("Distribution of Population by sex and by age group in the district of ",District!$A$1,", 2001")</f>
        <v>Distribution of Population by sex and by age group in the district of South 24-Parganas, 2001</v>
      </c>
      <c r="B2" s="1781"/>
      <c r="C2" s="1781"/>
      <c r="D2" s="1781"/>
      <c r="E2" s="1781"/>
      <c r="F2" s="1781"/>
      <c r="G2" s="1781"/>
      <c r="H2" s="1781"/>
      <c r="I2" s="1781"/>
      <c r="J2" s="1781"/>
      <c r="K2" s="1781"/>
      <c r="L2" s="1781"/>
      <c r="M2" s="1781"/>
      <c r="N2" s="1781"/>
      <c r="O2" s="1781"/>
      <c r="P2" s="1781"/>
      <c r="Q2" s="1781"/>
      <c r="R2" s="1781"/>
      <c r="S2" s="1781"/>
    </row>
    <row r="3" spans="1:19" ht="13.5" customHeight="1">
      <c r="B3" s="3"/>
      <c r="C3" s="570"/>
      <c r="D3" s="570"/>
      <c r="E3" s="570"/>
      <c r="F3" s="570"/>
      <c r="G3" s="570"/>
      <c r="H3" s="570"/>
      <c r="I3" s="570"/>
      <c r="J3" s="570"/>
      <c r="K3" s="570"/>
      <c r="L3" s="570"/>
      <c r="M3" s="570"/>
      <c r="N3" s="570"/>
      <c r="O3" s="570"/>
      <c r="P3" s="570"/>
      <c r="Q3" s="3"/>
      <c r="R3" s="3"/>
      <c r="S3" s="95" t="s">
        <v>594</v>
      </c>
    </row>
    <row r="4" spans="1:19" ht="15.75" customHeight="1">
      <c r="A4" s="1737" t="s">
        <v>1035</v>
      </c>
      <c r="B4" s="1775" t="s">
        <v>336</v>
      </c>
      <c r="C4" s="1775"/>
      <c r="D4" s="1775"/>
      <c r="E4" s="1775"/>
      <c r="F4" s="1775"/>
      <c r="G4" s="1774"/>
      <c r="H4" s="1772" t="s">
        <v>335</v>
      </c>
      <c r="I4" s="1775"/>
      <c r="J4" s="1775"/>
      <c r="K4" s="1775"/>
      <c r="L4" s="1775"/>
      <c r="M4" s="1774"/>
      <c r="N4" s="1775" t="s">
        <v>1075</v>
      </c>
      <c r="O4" s="1775"/>
      <c r="P4" s="1775"/>
      <c r="Q4" s="1775"/>
      <c r="R4" s="1775"/>
      <c r="S4" s="1774"/>
    </row>
    <row r="5" spans="1:19" ht="15.75" customHeight="1">
      <c r="A5" s="1743"/>
      <c r="B5" s="1780" t="s">
        <v>1003</v>
      </c>
      <c r="C5" s="1779"/>
      <c r="D5" s="1778" t="s">
        <v>1004</v>
      </c>
      <c r="E5" s="1779"/>
      <c r="F5" s="1780" t="s">
        <v>958</v>
      </c>
      <c r="G5" s="1779"/>
      <c r="H5" s="1778" t="s">
        <v>1003</v>
      </c>
      <c r="I5" s="1779"/>
      <c r="J5" s="1778" t="s">
        <v>1004</v>
      </c>
      <c r="K5" s="1779"/>
      <c r="L5" s="1780" t="s">
        <v>958</v>
      </c>
      <c r="M5" s="1779"/>
      <c r="N5" s="1778" t="s">
        <v>1003</v>
      </c>
      <c r="O5" s="1779"/>
      <c r="P5" s="1778" t="s">
        <v>1004</v>
      </c>
      <c r="Q5" s="1779"/>
      <c r="R5" s="1780" t="s">
        <v>958</v>
      </c>
      <c r="S5" s="1779"/>
    </row>
    <row r="6" spans="1:19" ht="15.75" customHeight="1">
      <c r="A6" s="1738"/>
      <c r="B6" s="336" t="s">
        <v>979</v>
      </c>
      <c r="C6" s="923" t="s">
        <v>1036</v>
      </c>
      <c r="D6" s="448" t="s">
        <v>979</v>
      </c>
      <c r="E6" s="923" t="s">
        <v>1036</v>
      </c>
      <c r="F6" s="336" t="s">
        <v>979</v>
      </c>
      <c r="G6" s="923" t="s">
        <v>1036</v>
      </c>
      <c r="H6" s="448" t="s">
        <v>979</v>
      </c>
      <c r="I6" s="923" t="s">
        <v>1036</v>
      </c>
      <c r="J6" s="448" t="s">
        <v>979</v>
      </c>
      <c r="K6" s="923" t="s">
        <v>1036</v>
      </c>
      <c r="L6" s="336" t="s">
        <v>979</v>
      </c>
      <c r="M6" s="923" t="s">
        <v>1036</v>
      </c>
      <c r="N6" s="448" t="s">
        <v>979</v>
      </c>
      <c r="O6" s="923" t="s">
        <v>1036</v>
      </c>
      <c r="P6" s="448" t="s">
        <v>979</v>
      </c>
      <c r="Q6" s="923" t="s">
        <v>1036</v>
      </c>
      <c r="R6" s="336" t="s">
        <v>979</v>
      </c>
      <c r="S6" s="923" t="s">
        <v>1036</v>
      </c>
    </row>
    <row r="7" spans="1:19" ht="15.75" customHeight="1">
      <c r="A7" s="199" t="s">
        <v>928</v>
      </c>
      <c r="B7" s="118" t="s">
        <v>929</v>
      </c>
      <c r="C7" s="120" t="s">
        <v>930</v>
      </c>
      <c r="D7" s="118" t="s">
        <v>931</v>
      </c>
      <c r="E7" s="122" t="s">
        <v>932</v>
      </c>
      <c r="F7" s="119" t="s">
        <v>933</v>
      </c>
      <c r="G7" s="122" t="s">
        <v>934</v>
      </c>
      <c r="H7" s="118" t="s">
        <v>959</v>
      </c>
      <c r="I7" s="120" t="s">
        <v>960</v>
      </c>
      <c r="J7" s="118" t="s">
        <v>961</v>
      </c>
      <c r="K7" s="120" t="s">
        <v>962</v>
      </c>
      <c r="L7" s="119" t="s">
        <v>1037</v>
      </c>
      <c r="M7" s="122" t="s">
        <v>1038</v>
      </c>
      <c r="N7" s="121" t="s">
        <v>1039</v>
      </c>
      <c r="O7" s="122" t="s">
        <v>1040</v>
      </c>
      <c r="P7" s="121" t="s">
        <v>1041</v>
      </c>
      <c r="Q7" s="122" t="s">
        <v>1042</v>
      </c>
      <c r="R7" s="119" t="s">
        <v>1044</v>
      </c>
      <c r="S7" s="120" t="s">
        <v>1043</v>
      </c>
    </row>
    <row r="8" spans="1:19" ht="18" customHeight="1">
      <c r="A8" s="929" t="s">
        <v>1045</v>
      </c>
      <c r="B8" s="924">
        <v>315.10000000000002</v>
      </c>
      <c r="C8" s="911">
        <f t="shared" ref="C8:C25" si="0">ROUND(B8/B$26*100,2)</f>
        <v>10.51</v>
      </c>
      <c r="D8" s="933">
        <v>305.8</v>
      </c>
      <c r="E8" s="911">
        <f t="shared" ref="E8:E25" si="1">ROUND(D8/D$26*100,2)</f>
        <v>10.83</v>
      </c>
      <c r="F8" s="931">
        <v>620.9</v>
      </c>
      <c r="G8" s="911">
        <f t="shared" ref="G8:G15" si="2">ROUND(F8/F$26*100,2)</f>
        <v>10.67</v>
      </c>
      <c r="H8" s="933">
        <v>41.1</v>
      </c>
      <c r="I8" s="911">
        <f t="shared" ref="I8:I25" si="3">ROUND(H8/H$26*100,2)</f>
        <v>7.24</v>
      </c>
      <c r="J8" s="933">
        <v>39.5</v>
      </c>
      <c r="K8" s="911">
        <f t="shared" ref="K8:K25" si="4">ROUND(J8/J$26*100,2)</f>
        <v>7.62</v>
      </c>
      <c r="L8" s="931">
        <f t="shared" ref="L8:L25" si="5">H8+J8</f>
        <v>80.599999999999994</v>
      </c>
      <c r="M8" s="911">
        <f t="shared" ref="M8:M22" si="6">ROUND(L8/L$26*100,2)</f>
        <v>7.42</v>
      </c>
      <c r="N8" s="1396">
        <f t="shared" ref="N8:N25" si="7">B8+H8</f>
        <v>356.20000000000005</v>
      </c>
      <c r="O8" s="911">
        <f>ROUND(N8/N$26*100,2)</f>
        <v>9.99</v>
      </c>
      <c r="P8" s="1396">
        <f t="shared" ref="P8:P25" si="8">D8+J8</f>
        <v>345.3</v>
      </c>
      <c r="Q8" s="911">
        <f t="shared" ref="Q8:Q25" si="9">ROUND(P8/P$26*100,2)</f>
        <v>10.33</v>
      </c>
      <c r="R8" s="931">
        <f t="shared" ref="R8:R25" si="10">N8+P8</f>
        <v>701.5</v>
      </c>
      <c r="S8" s="911">
        <f t="shared" ref="S8:S19" si="11">ROUND(R8/R$26*100,2)</f>
        <v>10.16</v>
      </c>
    </row>
    <row r="9" spans="1:19" ht="18" customHeight="1">
      <c r="A9" s="292" t="s">
        <v>1046</v>
      </c>
      <c r="B9" s="932">
        <v>398.5</v>
      </c>
      <c r="C9" s="911">
        <f t="shared" si="0"/>
        <v>13.3</v>
      </c>
      <c r="D9" s="933">
        <v>384.7</v>
      </c>
      <c r="E9" s="911">
        <f t="shared" si="1"/>
        <v>13.63</v>
      </c>
      <c r="F9" s="931">
        <f t="shared" ref="F9:F25" si="12">B9+D9</f>
        <v>783.2</v>
      </c>
      <c r="G9" s="911">
        <f t="shared" si="2"/>
        <v>13.46</v>
      </c>
      <c r="H9" s="933">
        <v>50.7</v>
      </c>
      <c r="I9" s="911">
        <f t="shared" si="3"/>
        <v>8.93</v>
      </c>
      <c r="J9" s="933">
        <v>48.1</v>
      </c>
      <c r="K9" s="911">
        <f t="shared" si="4"/>
        <v>9.2799999999999994</v>
      </c>
      <c r="L9" s="931">
        <f t="shared" si="5"/>
        <v>98.800000000000011</v>
      </c>
      <c r="M9" s="911">
        <f t="shared" si="6"/>
        <v>9.1</v>
      </c>
      <c r="N9" s="1396">
        <f t="shared" si="7"/>
        <v>449.2</v>
      </c>
      <c r="O9" s="911">
        <f>ROUND(N9/N$26*100,2)</f>
        <v>12.6</v>
      </c>
      <c r="P9" s="1396">
        <f t="shared" si="8"/>
        <v>432.8</v>
      </c>
      <c r="Q9" s="911">
        <f t="shared" si="9"/>
        <v>12.95</v>
      </c>
      <c r="R9" s="931">
        <f t="shared" si="10"/>
        <v>882</v>
      </c>
      <c r="S9" s="911">
        <f t="shared" si="11"/>
        <v>12.77</v>
      </c>
    </row>
    <row r="10" spans="1:19" ht="18" customHeight="1">
      <c r="A10" s="292" t="s">
        <v>1047</v>
      </c>
      <c r="B10" s="932">
        <v>394.4</v>
      </c>
      <c r="C10" s="911">
        <f t="shared" si="0"/>
        <v>13.16</v>
      </c>
      <c r="D10" s="924">
        <v>374</v>
      </c>
      <c r="E10" s="554">
        <f t="shared" si="1"/>
        <v>13.25</v>
      </c>
      <c r="F10" s="1394">
        <f t="shared" si="12"/>
        <v>768.4</v>
      </c>
      <c r="G10" s="911">
        <f t="shared" si="2"/>
        <v>13.2</v>
      </c>
      <c r="H10" s="933">
        <v>58.9</v>
      </c>
      <c r="I10" s="911">
        <f t="shared" si="3"/>
        <v>10.38</v>
      </c>
      <c r="J10" s="933">
        <v>55.1</v>
      </c>
      <c r="K10" s="911">
        <f t="shared" si="4"/>
        <v>10.63</v>
      </c>
      <c r="L10" s="931">
        <f t="shared" si="5"/>
        <v>114</v>
      </c>
      <c r="M10" s="911">
        <f t="shared" si="6"/>
        <v>10.5</v>
      </c>
      <c r="N10" s="1396">
        <f t="shared" si="7"/>
        <v>453.29999999999995</v>
      </c>
      <c r="O10" s="911">
        <f>ROUND(N10/N$26*100,2)-0.01</f>
        <v>12.71</v>
      </c>
      <c r="P10" s="1396">
        <f t="shared" si="8"/>
        <v>429.1</v>
      </c>
      <c r="Q10" s="911">
        <f t="shared" si="9"/>
        <v>12.84</v>
      </c>
      <c r="R10" s="931">
        <f t="shared" si="10"/>
        <v>882.4</v>
      </c>
      <c r="S10" s="911">
        <f t="shared" si="11"/>
        <v>12.78</v>
      </c>
    </row>
    <row r="11" spans="1:19" ht="18" customHeight="1">
      <c r="A11" s="292" t="s">
        <v>1048</v>
      </c>
      <c r="B11" s="932">
        <v>303</v>
      </c>
      <c r="C11" s="911">
        <f t="shared" si="0"/>
        <v>10.11</v>
      </c>
      <c r="D11" s="933">
        <v>269.7</v>
      </c>
      <c r="E11" s="911">
        <f t="shared" si="1"/>
        <v>9.5500000000000007</v>
      </c>
      <c r="F11" s="931">
        <f t="shared" si="12"/>
        <v>572.70000000000005</v>
      </c>
      <c r="G11" s="911">
        <f t="shared" si="2"/>
        <v>9.84</v>
      </c>
      <c r="H11" s="933">
        <v>54.1</v>
      </c>
      <c r="I11" s="911">
        <f t="shared" si="3"/>
        <v>9.5299999999999994</v>
      </c>
      <c r="J11" s="933">
        <v>50</v>
      </c>
      <c r="K11" s="911">
        <f t="shared" si="4"/>
        <v>9.64</v>
      </c>
      <c r="L11" s="931">
        <f t="shared" si="5"/>
        <v>104.1</v>
      </c>
      <c r="M11" s="911">
        <f t="shared" si="6"/>
        <v>9.58</v>
      </c>
      <c r="N11" s="1396">
        <f t="shared" si="7"/>
        <v>357.1</v>
      </c>
      <c r="O11" s="911">
        <f t="shared" ref="O11:O25" si="13">ROUND(N11/N$26*100,2)</f>
        <v>10.02</v>
      </c>
      <c r="P11" s="1396">
        <f t="shared" si="8"/>
        <v>319.7</v>
      </c>
      <c r="Q11" s="911">
        <f t="shared" si="9"/>
        <v>9.57</v>
      </c>
      <c r="R11" s="931">
        <f t="shared" si="10"/>
        <v>676.8</v>
      </c>
      <c r="S11" s="911">
        <f t="shared" si="11"/>
        <v>9.8000000000000007</v>
      </c>
    </row>
    <row r="12" spans="1:19" ht="18" customHeight="1">
      <c r="A12" s="292" t="s">
        <v>1049</v>
      </c>
      <c r="B12" s="932">
        <v>260.3</v>
      </c>
      <c r="C12" s="911">
        <f t="shared" si="0"/>
        <v>8.68</v>
      </c>
      <c r="D12" s="933">
        <v>252.2</v>
      </c>
      <c r="E12" s="911">
        <f t="shared" si="1"/>
        <v>8.93</v>
      </c>
      <c r="F12" s="931">
        <f t="shared" si="12"/>
        <v>512.5</v>
      </c>
      <c r="G12" s="911">
        <f t="shared" si="2"/>
        <v>8.81</v>
      </c>
      <c r="H12" s="933">
        <v>53</v>
      </c>
      <c r="I12" s="911">
        <f t="shared" si="3"/>
        <v>9.34</v>
      </c>
      <c r="J12" s="933">
        <v>50.7</v>
      </c>
      <c r="K12" s="911">
        <f t="shared" si="4"/>
        <v>9.7799999999999994</v>
      </c>
      <c r="L12" s="931">
        <f t="shared" si="5"/>
        <v>103.7</v>
      </c>
      <c r="M12" s="911">
        <f t="shared" si="6"/>
        <v>9.5500000000000007</v>
      </c>
      <c r="N12" s="1396">
        <f t="shared" si="7"/>
        <v>313.3</v>
      </c>
      <c r="O12" s="911">
        <f t="shared" si="13"/>
        <v>8.7899999999999991</v>
      </c>
      <c r="P12" s="1396">
        <f t="shared" si="8"/>
        <v>302.89999999999998</v>
      </c>
      <c r="Q12" s="911">
        <f t="shared" si="9"/>
        <v>9.06</v>
      </c>
      <c r="R12" s="931">
        <f t="shared" si="10"/>
        <v>616.20000000000005</v>
      </c>
      <c r="S12" s="911">
        <f t="shared" si="11"/>
        <v>8.92</v>
      </c>
    </row>
    <row r="13" spans="1:19" ht="18" customHeight="1">
      <c r="A13" s="292" t="s">
        <v>1050</v>
      </c>
      <c r="B13" s="932">
        <v>246.9</v>
      </c>
      <c r="C13" s="911">
        <f t="shared" si="0"/>
        <v>8.24</v>
      </c>
      <c r="D13" s="933">
        <v>246.2</v>
      </c>
      <c r="E13" s="911">
        <f t="shared" si="1"/>
        <v>8.7200000000000006</v>
      </c>
      <c r="F13" s="931">
        <f t="shared" si="12"/>
        <v>493.1</v>
      </c>
      <c r="G13" s="911">
        <f t="shared" si="2"/>
        <v>8.4700000000000006</v>
      </c>
      <c r="H13" s="933">
        <v>51.2</v>
      </c>
      <c r="I13" s="911">
        <f t="shared" si="3"/>
        <v>9.02</v>
      </c>
      <c r="J13" s="933">
        <v>52.3</v>
      </c>
      <c r="K13" s="911">
        <f t="shared" si="4"/>
        <v>10.09</v>
      </c>
      <c r="L13" s="931">
        <f t="shared" si="5"/>
        <v>103.5</v>
      </c>
      <c r="M13" s="911">
        <f t="shared" si="6"/>
        <v>9.5299999999999994</v>
      </c>
      <c r="N13" s="1396">
        <f t="shared" si="7"/>
        <v>298.10000000000002</v>
      </c>
      <c r="O13" s="911">
        <f t="shared" si="13"/>
        <v>8.36</v>
      </c>
      <c r="P13" s="1396">
        <f t="shared" si="8"/>
        <v>298.5</v>
      </c>
      <c r="Q13" s="911">
        <f t="shared" si="9"/>
        <v>8.93</v>
      </c>
      <c r="R13" s="931">
        <f t="shared" si="10"/>
        <v>596.6</v>
      </c>
      <c r="S13" s="911">
        <f t="shared" si="11"/>
        <v>8.64</v>
      </c>
    </row>
    <row r="14" spans="1:19" ht="18" customHeight="1">
      <c r="A14" s="292" t="s">
        <v>1051</v>
      </c>
      <c r="B14" s="932">
        <v>215.3</v>
      </c>
      <c r="C14" s="911">
        <f t="shared" si="0"/>
        <v>7.18</v>
      </c>
      <c r="D14" s="933">
        <v>200.5</v>
      </c>
      <c r="E14" s="911">
        <f t="shared" si="1"/>
        <v>7.1</v>
      </c>
      <c r="F14" s="931">
        <f t="shared" si="12"/>
        <v>415.8</v>
      </c>
      <c r="G14" s="911">
        <f t="shared" si="2"/>
        <v>7.14</v>
      </c>
      <c r="H14" s="933">
        <v>48.5</v>
      </c>
      <c r="I14" s="911">
        <f t="shared" si="3"/>
        <v>8.5399999999999991</v>
      </c>
      <c r="J14" s="933">
        <v>44.5</v>
      </c>
      <c r="K14" s="911">
        <f t="shared" si="4"/>
        <v>8.58</v>
      </c>
      <c r="L14" s="931">
        <f t="shared" si="5"/>
        <v>93</v>
      </c>
      <c r="M14" s="911">
        <f t="shared" si="6"/>
        <v>8.56</v>
      </c>
      <c r="N14" s="1396">
        <f t="shared" si="7"/>
        <v>263.8</v>
      </c>
      <c r="O14" s="911">
        <f t="shared" si="13"/>
        <v>7.4</v>
      </c>
      <c r="P14" s="1396">
        <f t="shared" si="8"/>
        <v>245</v>
      </c>
      <c r="Q14" s="911">
        <f t="shared" si="9"/>
        <v>7.33</v>
      </c>
      <c r="R14" s="931">
        <f t="shared" si="10"/>
        <v>508.8</v>
      </c>
      <c r="S14" s="911">
        <f t="shared" si="11"/>
        <v>7.37</v>
      </c>
    </row>
    <row r="15" spans="1:19" ht="18" customHeight="1">
      <c r="A15" s="292" t="s">
        <v>1052</v>
      </c>
      <c r="B15" s="932">
        <v>208</v>
      </c>
      <c r="C15" s="911">
        <f t="shared" si="0"/>
        <v>6.94</v>
      </c>
      <c r="D15" s="933">
        <v>187</v>
      </c>
      <c r="E15" s="911">
        <f t="shared" si="1"/>
        <v>6.62</v>
      </c>
      <c r="F15" s="931">
        <f t="shared" si="12"/>
        <v>395</v>
      </c>
      <c r="G15" s="911">
        <f t="shared" si="2"/>
        <v>6.79</v>
      </c>
      <c r="H15" s="933">
        <v>47.2</v>
      </c>
      <c r="I15" s="911">
        <f t="shared" si="3"/>
        <v>8.31</v>
      </c>
      <c r="J15" s="933">
        <v>43.8</v>
      </c>
      <c r="K15" s="911">
        <f t="shared" si="4"/>
        <v>8.4499999999999993</v>
      </c>
      <c r="L15" s="931">
        <f t="shared" si="5"/>
        <v>91</v>
      </c>
      <c r="M15" s="911">
        <f t="shared" si="6"/>
        <v>8.3800000000000008</v>
      </c>
      <c r="N15" s="1396">
        <f t="shared" si="7"/>
        <v>255.2</v>
      </c>
      <c r="O15" s="911">
        <f t="shared" si="13"/>
        <v>7.16</v>
      </c>
      <c r="P15" s="1396">
        <f t="shared" si="8"/>
        <v>230.8</v>
      </c>
      <c r="Q15" s="911">
        <f t="shared" si="9"/>
        <v>6.91</v>
      </c>
      <c r="R15" s="931">
        <f t="shared" si="10"/>
        <v>486</v>
      </c>
      <c r="S15" s="911">
        <f t="shared" si="11"/>
        <v>7.04</v>
      </c>
    </row>
    <row r="16" spans="1:19" ht="18" customHeight="1">
      <c r="A16" s="292" t="s">
        <v>1053</v>
      </c>
      <c r="B16" s="932">
        <v>160.9</v>
      </c>
      <c r="C16" s="911">
        <f t="shared" si="0"/>
        <v>5.37</v>
      </c>
      <c r="D16" s="933">
        <v>130.5</v>
      </c>
      <c r="E16" s="911">
        <f t="shared" si="1"/>
        <v>4.62</v>
      </c>
      <c r="F16" s="931">
        <f t="shared" si="12"/>
        <v>291.39999999999998</v>
      </c>
      <c r="G16" s="911">
        <v>5</v>
      </c>
      <c r="H16" s="933">
        <v>39.5</v>
      </c>
      <c r="I16" s="911">
        <f t="shared" si="3"/>
        <v>6.96</v>
      </c>
      <c r="J16" s="933">
        <v>30.5</v>
      </c>
      <c r="K16" s="911">
        <f t="shared" si="4"/>
        <v>5.88</v>
      </c>
      <c r="L16" s="931">
        <f t="shared" si="5"/>
        <v>70</v>
      </c>
      <c r="M16" s="911">
        <f t="shared" si="6"/>
        <v>6.44</v>
      </c>
      <c r="N16" s="1396">
        <f t="shared" si="7"/>
        <v>200.4</v>
      </c>
      <c r="O16" s="911">
        <f t="shared" si="13"/>
        <v>5.62</v>
      </c>
      <c r="P16" s="1396">
        <f t="shared" si="8"/>
        <v>161</v>
      </c>
      <c r="Q16" s="911">
        <f t="shared" si="9"/>
        <v>4.82</v>
      </c>
      <c r="R16" s="931">
        <f t="shared" si="10"/>
        <v>361.4</v>
      </c>
      <c r="S16" s="911">
        <f t="shared" si="11"/>
        <v>5.23</v>
      </c>
    </row>
    <row r="17" spans="1:19" ht="18" customHeight="1">
      <c r="A17" s="292" t="s">
        <v>1054</v>
      </c>
      <c r="B17" s="860">
        <v>135.69999999999999</v>
      </c>
      <c r="C17" s="911">
        <f t="shared" si="0"/>
        <v>4.53</v>
      </c>
      <c r="D17" s="934">
        <v>115.3</v>
      </c>
      <c r="E17" s="911">
        <f t="shared" si="1"/>
        <v>4.08</v>
      </c>
      <c r="F17" s="931">
        <f t="shared" si="12"/>
        <v>251</v>
      </c>
      <c r="G17" s="911">
        <f t="shared" ref="G17:G25" si="14">ROUND(F17/F$26*100,2)</f>
        <v>4.3099999999999996</v>
      </c>
      <c r="H17" s="934">
        <v>34.6</v>
      </c>
      <c r="I17" s="911">
        <f t="shared" si="3"/>
        <v>6.09</v>
      </c>
      <c r="J17" s="934">
        <v>26.7</v>
      </c>
      <c r="K17" s="911">
        <f t="shared" si="4"/>
        <v>5.15</v>
      </c>
      <c r="L17" s="931">
        <f t="shared" si="5"/>
        <v>61.3</v>
      </c>
      <c r="M17" s="911">
        <f t="shared" si="6"/>
        <v>5.64</v>
      </c>
      <c r="N17" s="1396">
        <f t="shared" si="7"/>
        <v>170.29999999999998</v>
      </c>
      <c r="O17" s="911">
        <f t="shared" si="13"/>
        <v>4.78</v>
      </c>
      <c r="P17" s="1396">
        <f t="shared" si="8"/>
        <v>142</v>
      </c>
      <c r="Q17" s="911">
        <f t="shared" si="9"/>
        <v>4.25</v>
      </c>
      <c r="R17" s="931">
        <f t="shared" si="10"/>
        <v>312.29999999999995</v>
      </c>
      <c r="S17" s="911">
        <f t="shared" si="11"/>
        <v>4.5199999999999996</v>
      </c>
    </row>
    <row r="18" spans="1:19" ht="18" customHeight="1">
      <c r="A18" s="292" t="s">
        <v>1055</v>
      </c>
      <c r="B18" s="860">
        <v>93.4</v>
      </c>
      <c r="C18" s="911">
        <f t="shared" si="0"/>
        <v>3.12</v>
      </c>
      <c r="D18" s="934">
        <v>82.9</v>
      </c>
      <c r="E18" s="911">
        <f t="shared" si="1"/>
        <v>2.94</v>
      </c>
      <c r="F18" s="931">
        <f t="shared" si="12"/>
        <v>176.3</v>
      </c>
      <c r="G18" s="911">
        <f t="shared" si="14"/>
        <v>3.03</v>
      </c>
      <c r="H18" s="934">
        <v>25.6</v>
      </c>
      <c r="I18" s="911">
        <f t="shared" si="3"/>
        <v>4.51</v>
      </c>
      <c r="J18" s="934">
        <v>19.2</v>
      </c>
      <c r="K18" s="911">
        <f t="shared" si="4"/>
        <v>3.7</v>
      </c>
      <c r="L18" s="931">
        <f t="shared" si="5"/>
        <v>44.8</v>
      </c>
      <c r="M18" s="911">
        <f t="shared" si="6"/>
        <v>4.12</v>
      </c>
      <c r="N18" s="1396">
        <f t="shared" si="7"/>
        <v>119</v>
      </c>
      <c r="O18" s="911">
        <f t="shared" si="13"/>
        <v>3.34</v>
      </c>
      <c r="P18" s="1396">
        <f t="shared" si="8"/>
        <v>102.10000000000001</v>
      </c>
      <c r="Q18" s="911">
        <f t="shared" si="9"/>
        <v>3.06</v>
      </c>
      <c r="R18" s="931">
        <f t="shared" si="10"/>
        <v>221.10000000000002</v>
      </c>
      <c r="S18" s="911">
        <f t="shared" si="11"/>
        <v>3.2</v>
      </c>
    </row>
    <row r="19" spans="1:19" ht="18" customHeight="1">
      <c r="A19" s="292" t="s">
        <v>1056</v>
      </c>
      <c r="B19" s="860">
        <v>76.400000000000006</v>
      </c>
      <c r="C19" s="911">
        <f t="shared" si="0"/>
        <v>2.5499999999999998</v>
      </c>
      <c r="D19" s="934">
        <v>70.099999999999994</v>
      </c>
      <c r="E19" s="911">
        <f t="shared" si="1"/>
        <v>2.48</v>
      </c>
      <c r="F19" s="931">
        <f t="shared" si="12"/>
        <v>146.5</v>
      </c>
      <c r="G19" s="911">
        <f t="shared" si="14"/>
        <v>2.52</v>
      </c>
      <c r="H19" s="934">
        <v>19.5</v>
      </c>
      <c r="I19" s="911">
        <f t="shared" si="3"/>
        <v>3.43</v>
      </c>
      <c r="J19" s="934">
        <v>15.1</v>
      </c>
      <c r="K19" s="911">
        <f t="shared" si="4"/>
        <v>2.91</v>
      </c>
      <c r="L19" s="931">
        <f t="shared" si="5"/>
        <v>34.6</v>
      </c>
      <c r="M19" s="911">
        <f t="shared" si="6"/>
        <v>3.19</v>
      </c>
      <c r="N19" s="1396">
        <f t="shared" si="7"/>
        <v>95.9</v>
      </c>
      <c r="O19" s="911">
        <f t="shared" si="13"/>
        <v>2.69</v>
      </c>
      <c r="P19" s="1396">
        <f t="shared" si="8"/>
        <v>85.199999999999989</v>
      </c>
      <c r="Q19" s="911">
        <f t="shared" si="9"/>
        <v>2.5499999999999998</v>
      </c>
      <c r="R19" s="931">
        <f t="shared" si="10"/>
        <v>181.1</v>
      </c>
      <c r="S19" s="911">
        <f t="shared" si="11"/>
        <v>2.62</v>
      </c>
    </row>
    <row r="20" spans="1:19" ht="18" customHeight="1">
      <c r="A20" s="292" t="s">
        <v>1057</v>
      </c>
      <c r="B20" s="860">
        <v>59.6</v>
      </c>
      <c r="C20" s="911">
        <f t="shared" si="0"/>
        <v>1.99</v>
      </c>
      <c r="D20" s="934">
        <v>64.900000000000006</v>
      </c>
      <c r="E20" s="911">
        <f t="shared" si="1"/>
        <v>2.2999999999999998</v>
      </c>
      <c r="F20" s="931">
        <f t="shared" si="12"/>
        <v>124.5</v>
      </c>
      <c r="G20" s="911">
        <f t="shared" si="14"/>
        <v>2.14</v>
      </c>
      <c r="H20" s="934">
        <v>14.8</v>
      </c>
      <c r="I20" s="911">
        <f t="shared" si="3"/>
        <v>2.61</v>
      </c>
      <c r="J20" s="934">
        <v>13.7</v>
      </c>
      <c r="K20" s="911">
        <f t="shared" si="4"/>
        <v>2.64</v>
      </c>
      <c r="L20" s="931">
        <f t="shared" si="5"/>
        <v>28.5</v>
      </c>
      <c r="M20" s="911">
        <f t="shared" si="6"/>
        <v>2.62</v>
      </c>
      <c r="N20" s="1396">
        <f t="shared" si="7"/>
        <v>74.400000000000006</v>
      </c>
      <c r="O20" s="911">
        <f t="shared" si="13"/>
        <v>2.09</v>
      </c>
      <c r="P20" s="1396">
        <f t="shared" si="8"/>
        <v>78.600000000000009</v>
      </c>
      <c r="Q20" s="911">
        <f t="shared" si="9"/>
        <v>2.35</v>
      </c>
      <c r="R20" s="931">
        <f t="shared" si="10"/>
        <v>153</v>
      </c>
      <c r="S20" s="911">
        <f>ROUND(R20/R$26*100,2)-0.01</f>
        <v>2.2100000000000004</v>
      </c>
    </row>
    <row r="21" spans="1:19" ht="18" customHeight="1">
      <c r="A21" s="292" t="s">
        <v>1058</v>
      </c>
      <c r="B21" s="860">
        <v>45.6</v>
      </c>
      <c r="C21" s="911">
        <f t="shared" si="0"/>
        <v>1.52</v>
      </c>
      <c r="D21" s="934">
        <v>50.7</v>
      </c>
      <c r="E21" s="911">
        <f t="shared" si="1"/>
        <v>1.8</v>
      </c>
      <c r="F21" s="931">
        <f t="shared" si="12"/>
        <v>96.300000000000011</v>
      </c>
      <c r="G21" s="911">
        <f t="shared" si="14"/>
        <v>1.65</v>
      </c>
      <c r="H21" s="934">
        <v>10.8</v>
      </c>
      <c r="I21" s="911">
        <f t="shared" si="3"/>
        <v>1.9</v>
      </c>
      <c r="J21" s="934">
        <v>10.7</v>
      </c>
      <c r="K21" s="911">
        <f t="shared" si="4"/>
        <v>2.06</v>
      </c>
      <c r="L21" s="931">
        <f t="shared" si="5"/>
        <v>21.5</v>
      </c>
      <c r="M21" s="911">
        <f t="shared" si="6"/>
        <v>1.98</v>
      </c>
      <c r="N21" s="1396">
        <f t="shared" si="7"/>
        <v>56.400000000000006</v>
      </c>
      <c r="O21" s="911">
        <f t="shared" si="13"/>
        <v>1.58</v>
      </c>
      <c r="P21" s="1396">
        <f t="shared" si="8"/>
        <v>61.400000000000006</v>
      </c>
      <c r="Q21" s="911">
        <f t="shared" si="9"/>
        <v>1.84</v>
      </c>
      <c r="R21" s="931">
        <f t="shared" si="10"/>
        <v>117.80000000000001</v>
      </c>
      <c r="S21" s="911">
        <f>ROUND(R21/R$26*100,2)</f>
        <v>1.71</v>
      </c>
    </row>
    <row r="22" spans="1:19" ht="18" customHeight="1">
      <c r="A22" s="292" t="s">
        <v>1061</v>
      </c>
      <c r="B22" s="860">
        <v>36.1</v>
      </c>
      <c r="C22" s="911">
        <f t="shared" si="0"/>
        <v>1.2</v>
      </c>
      <c r="D22" s="934">
        <v>38</v>
      </c>
      <c r="E22" s="911">
        <f t="shared" si="1"/>
        <v>1.35</v>
      </c>
      <c r="F22" s="931">
        <f t="shared" si="12"/>
        <v>74.099999999999994</v>
      </c>
      <c r="G22" s="911">
        <f t="shared" si="14"/>
        <v>1.27</v>
      </c>
      <c r="H22" s="934">
        <v>8</v>
      </c>
      <c r="I22" s="911">
        <f t="shared" si="3"/>
        <v>1.41</v>
      </c>
      <c r="J22" s="934">
        <v>7.8</v>
      </c>
      <c r="K22" s="911">
        <f t="shared" si="4"/>
        <v>1.5</v>
      </c>
      <c r="L22" s="931">
        <f t="shared" si="5"/>
        <v>15.8</v>
      </c>
      <c r="M22" s="911">
        <f t="shared" si="6"/>
        <v>1.45</v>
      </c>
      <c r="N22" s="1396">
        <f t="shared" si="7"/>
        <v>44.1</v>
      </c>
      <c r="O22" s="911">
        <f t="shared" si="13"/>
        <v>1.24</v>
      </c>
      <c r="P22" s="1396">
        <f t="shared" si="8"/>
        <v>45.8</v>
      </c>
      <c r="Q22" s="911">
        <f t="shared" si="9"/>
        <v>1.37</v>
      </c>
      <c r="R22" s="931">
        <f t="shared" si="10"/>
        <v>89.9</v>
      </c>
      <c r="S22" s="911">
        <f>ROUND(R22/R$26*100,2)</f>
        <v>1.3</v>
      </c>
    </row>
    <row r="23" spans="1:19" ht="18" customHeight="1">
      <c r="A23" s="292" t="s">
        <v>1062</v>
      </c>
      <c r="B23" s="860">
        <v>19</v>
      </c>
      <c r="C23" s="911">
        <f t="shared" si="0"/>
        <v>0.63</v>
      </c>
      <c r="D23" s="934">
        <v>19.399999999999999</v>
      </c>
      <c r="E23" s="911">
        <f t="shared" si="1"/>
        <v>0.69</v>
      </c>
      <c r="F23" s="931">
        <f t="shared" si="12"/>
        <v>38.4</v>
      </c>
      <c r="G23" s="911">
        <f t="shared" si="14"/>
        <v>0.66</v>
      </c>
      <c r="H23" s="934">
        <v>4.0999999999999996</v>
      </c>
      <c r="I23" s="911">
        <f t="shared" si="3"/>
        <v>0.72</v>
      </c>
      <c r="J23" s="934">
        <v>4.0999999999999996</v>
      </c>
      <c r="K23" s="911">
        <f t="shared" si="4"/>
        <v>0.79</v>
      </c>
      <c r="L23" s="931">
        <f t="shared" si="5"/>
        <v>8.1999999999999993</v>
      </c>
      <c r="M23" s="911">
        <f>ROUND(L23/L$26*100,2)+0.01</f>
        <v>0.76</v>
      </c>
      <c r="N23" s="1396">
        <f t="shared" si="7"/>
        <v>23.1</v>
      </c>
      <c r="O23" s="911">
        <f t="shared" si="13"/>
        <v>0.65</v>
      </c>
      <c r="P23" s="1396">
        <f t="shared" si="8"/>
        <v>23.5</v>
      </c>
      <c r="Q23" s="911">
        <f t="shared" si="9"/>
        <v>0.7</v>
      </c>
      <c r="R23" s="931">
        <f t="shared" si="10"/>
        <v>46.6</v>
      </c>
      <c r="S23" s="911">
        <f>ROUND(R23/R$26*100,2)</f>
        <v>0.67</v>
      </c>
    </row>
    <row r="24" spans="1:19" ht="18" customHeight="1">
      <c r="A24" s="292" t="s">
        <v>1063</v>
      </c>
      <c r="B24" s="860">
        <v>24.2</v>
      </c>
      <c r="C24" s="911">
        <f t="shared" si="0"/>
        <v>0.81</v>
      </c>
      <c r="D24" s="934">
        <v>27</v>
      </c>
      <c r="E24" s="911">
        <f t="shared" si="1"/>
        <v>0.96</v>
      </c>
      <c r="F24" s="931">
        <f t="shared" si="12"/>
        <v>51.2</v>
      </c>
      <c r="G24" s="911">
        <f t="shared" si="14"/>
        <v>0.88</v>
      </c>
      <c r="H24" s="934">
        <v>5.2</v>
      </c>
      <c r="I24" s="911">
        <f t="shared" si="3"/>
        <v>0.92</v>
      </c>
      <c r="J24" s="934">
        <v>6</v>
      </c>
      <c r="K24" s="911">
        <f t="shared" si="4"/>
        <v>1.1599999999999999</v>
      </c>
      <c r="L24" s="931">
        <f t="shared" si="5"/>
        <v>11.2</v>
      </c>
      <c r="M24" s="911">
        <f>ROUND(L24/L$26*100,2)</f>
        <v>1.03</v>
      </c>
      <c r="N24" s="1396">
        <f t="shared" si="7"/>
        <v>29.4</v>
      </c>
      <c r="O24" s="911">
        <f t="shared" si="13"/>
        <v>0.82</v>
      </c>
      <c r="P24" s="1396">
        <f t="shared" si="8"/>
        <v>33</v>
      </c>
      <c r="Q24" s="911">
        <f t="shared" si="9"/>
        <v>0.99</v>
      </c>
      <c r="R24" s="931">
        <f t="shared" si="10"/>
        <v>62.4</v>
      </c>
      <c r="S24" s="911">
        <f>ROUND(R24/R$26*100,2)</f>
        <v>0.9</v>
      </c>
    </row>
    <row r="25" spans="1:19" ht="27" customHeight="1">
      <c r="A25" s="925" t="s">
        <v>1059</v>
      </c>
      <c r="B25" s="860">
        <v>4.9000000000000004</v>
      </c>
      <c r="C25" s="911">
        <f t="shared" si="0"/>
        <v>0.16</v>
      </c>
      <c r="D25" s="934">
        <v>4.3</v>
      </c>
      <c r="E25" s="911">
        <f t="shared" si="1"/>
        <v>0.15</v>
      </c>
      <c r="F25" s="931">
        <f t="shared" si="12"/>
        <v>9.1999999999999993</v>
      </c>
      <c r="G25" s="911">
        <f t="shared" si="14"/>
        <v>0.16</v>
      </c>
      <c r="H25" s="934">
        <v>0.9</v>
      </c>
      <c r="I25" s="911">
        <f t="shared" si="3"/>
        <v>0.16</v>
      </c>
      <c r="J25" s="934">
        <v>0.7</v>
      </c>
      <c r="K25" s="911">
        <f t="shared" si="4"/>
        <v>0.14000000000000001</v>
      </c>
      <c r="L25" s="931">
        <f t="shared" si="5"/>
        <v>1.6</v>
      </c>
      <c r="M25" s="911">
        <f>ROUND(L25/L$26*100,2)</f>
        <v>0.15</v>
      </c>
      <c r="N25" s="1396">
        <f t="shared" si="7"/>
        <v>5.8000000000000007</v>
      </c>
      <c r="O25" s="911">
        <f t="shared" si="13"/>
        <v>0.16</v>
      </c>
      <c r="P25" s="1396">
        <f t="shared" si="8"/>
        <v>5</v>
      </c>
      <c r="Q25" s="911">
        <f t="shared" si="9"/>
        <v>0.15</v>
      </c>
      <c r="R25" s="931">
        <f t="shared" si="10"/>
        <v>10.8</v>
      </c>
      <c r="S25" s="926">
        <f>ROUND(R25/R$26*100,2)</f>
        <v>0.16</v>
      </c>
    </row>
    <row r="26" spans="1:19" ht="18" customHeight="1">
      <c r="A26" s="935" t="s">
        <v>1060</v>
      </c>
      <c r="B26" s="927">
        <f t="shared" ref="B26:S26" si="15">SUM(B8:B25)</f>
        <v>2997.2999999999997</v>
      </c>
      <c r="C26" s="928">
        <f t="shared" si="15"/>
        <v>100</v>
      </c>
      <c r="D26" s="927">
        <f t="shared" si="15"/>
        <v>2823.2000000000007</v>
      </c>
      <c r="E26" s="928">
        <f t="shared" si="15"/>
        <v>100</v>
      </c>
      <c r="F26" s="927">
        <f t="shared" si="15"/>
        <v>5820.4999999999991</v>
      </c>
      <c r="G26" s="928">
        <f t="shared" si="15"/>
        <v>100</v>
      </c>
      <c r="H26" s="927">
        <f t="shared" si="15"/>
        <v>567.70000000000005</v>
      </c>
      <c r="I26" s="928">
        <f t="shared" si="15"/>
        <v>100</v>
      </c>
      <c r="J26" s="927">
        <f t="shared" si="15"/>
        <v>518.5</v>
      </c>
      <c r="K26" s="928">
        <f t="shared" si="15"/>
        <v>100.00000000000001</v>
      </c>
      <c r="L26" s="927">
        <f t="shared" si="15"/>
        <v>1086.2</v>
      </c>
      <c r="M26" s="928">
        <f t="shared" si="15"/>
        <v>100.00000000000003</v>
      </c>
      <c r="N26" s="927">
        <f t="shared" si="15"/>
        <v>3565.0000000000009</v>
      </c>
      <c r="O26" s="928">
        <f t="shared" si="15"/>
        <v>99.999999999999986</v>
      </c>
      <c r="P26" s="927">
        <f t="shared" si="15"/>
        <v>3341.7000000000003</v>
      </c>
      <c r="Q26" s="928">
        <f t="shared" si="15"/>
        <v>100.00000000000001</v>
      </c>
      <c r="R26" s="927">
        <f t="shared" si="15"/>
        <v>6906.7000000000007</v>
      </c>
      <c r="S26" s="936">
        <f t="shared" si="15"/>
        <v>100.00000000000001</v>
      </c>
    </row>
    <row r="27" spans="1:19">
      <c r="J27" s="1395"/>
      <c r="S27" s="1134" t="s">
        <v>1115</v>
      </c>
    </row>
  </sheetData>
  <mergeCells count="15">
    <mergeCell ref="A1:S1"/>
    <mergeCell ref="A4:A6"/>
    <mergeCell ref="P5:Q5"/>
    <mergeCell ref="R5:S5"/>
    <mergeCell ref="J5:K5"/>
    <mergeCell ref="L5:M5"/>
    <mergeCell ref="N5:O5"/>
    <mergeCell ref="H4:M4"/>
    <mergeCell ref="H5:I5"/>
    <mergeCell ref="D5:E5"/>
    <mergeCell ref="F5:G5"/>
    <mergeCell ref="B4:G4"/>
    <mergeCell ref="B5:C5"/>
    <mergeCell ref="A2:S2"/>
    <mergeCell ref="N4:S4"/>
  </mergeCells>
  <phoneticPr fontId="0" type="noConversion"/>
  <printOptions horizontalCentered="1"/>
  <pageMargins left="0.1" right="0.1" top="0.63" bottom="0.1" header="0.5" footer="0.5"/>
  <pageSetup paperSize="9"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dimension ref="A1:S27"/>
  <sheetViews>
    <sheetView workbookViewId="0">
      <selection activeCell="J11" sqref="J11"/>
    </sheetView>
  </sheetViews>
  <sheetFormatPr defaultRowHeight="12.75"/>
  <cols>
    <col min="1" max="1" width="8.28515625" customWidth="1"/>
    <col min="2" max="2" width="8.140625" customWidth="1"/>
    <col min="3" max="3" width="7" customWidth="1"/>
    <col min="4" max="4" width="8.140625" customWidth="1"/>
    <col min="5" max="5" width="7" customWidth="1"/>
    <col min="6" max="6" width="8.140625" customWidth="1"/>
    <col min="7" max="7" width="7" customWidth="1"/>
    <col min="8" max="8" width="8.140625" customWidth="1"/>
    <col min="9" max="9" width="7" customWidth="1"/>
    <col min="10" max="10" width="8.140625" customWidth="1"/>
    <col min="11" max="11" width="7" customWidth="1"/>
    <col min="12" max="12" width="8.140625" customWidth="1"/>
    <col min="13" max="13" width="7" customWidth="1"/>
    <col min="14" max="14" width="8.140625" customWidth="1"/>
    <col min="15" max="15" width="7" customWidth="1"/>
    <col min="16" max="16" width="8.140625" customWidth="1"/>
    <col min="17" max="17" width="7" customWidth="1"/>
    <col min="18" max="18" width="8.140625" customWidth="1"/>
    <col min="19" max="19" width="7" customWidth="1"/>
  </cols>
  <sheetData>
    <row r="1" spans="1:19" ht="14.25" customHeight="1">
      <c r="A1" s="1708" t="s">
        <v>345</v>
      </c>
      <c r="B1" s="1708"/>
      <c r="C1" s="1708"/>
      <c r="D1" s="1708"/>
      <c r="E1" s="1708"/>
      <c r="F1" s="1708"/>
      <c r="G1" s="1708"/>
      <c r="H1" s="1708"/>
      <c r="I1" s="1708"/>
      <c r="J1" s="1708"/>
      <c r="K1" s="1708"/>
      <c r="L1" s="1708"/>
      <c r="M1" s="1708"/>
      <c r="N1" s="1708"/>
      <c r="O1" s="1708"/>
      <c r="P1" s="1708"/>
      <c r="Q1" s="1708"/>
      <c r="R1" s="1708"/>
      <c r="S1" s="1708"/>
    </row>
    <row r="2" spans="1:19" ht="20.25" customHeight="1">
      <c r="A2" s="1781" t="str">
        <f>CONCATENATE("Distribution of Population by sex and by age group in the district of ",District!$A$1,", 2011")</f>
        <v>Distribution of Population by sex and by age group in the district of South 24-Parganas, 2011</v>
      </c>
      <c r="B2" s="1781"/>
      <c r="C2" s="1781"/>
      <c r="D2" s="1781"/>
      <c r="E2" s="1781"/>
      <c r="F2" s="1781"/>
      <c r="G2" s="1781"/>
      <c r="H2" s="1781"/>
      <c r="I2" s="1781"/>
      <c r="J2" s="1781"/>
      <c r="K2" s="1781"/>
      <c r="L2" s="1781"/>
      <c r="M2" s="1781"/>
      <c r="N2" s="1781"/>
      <c r="O2" s="1781"/>
      <c r="P2" s="1781"/>
      <c r="Q2" s="1781"/>
      <c r="R2" s="1781"/>
      <c r="S2" s="1781"/>
    </row>
    <row r="3" spans="1:19" ht="13.5" customHeight="1">
      <c r="B3" s="3"/>
      <c r="C3" s="570"/>
      <c r="D3" s="570"/>
      <c r="E3" s="570"/>
      <c r="F3" s="570"/>
      <c r="G3" s="570"/>
      <c r="H3" s="570"/>
      <c r="I3" s="570"/>
      <c r="J3" s="570"/>
      <c r="K3" s="570"/>
      <c r="L3" s="570"/>
      <c r="M3" s="570"/>
      <c r="N3" s="570"/>
      <c r="O3" s="570"/>
      <c r="P3" s="570"/>
      <c r="Q3" s="3"/>
      <c r="R3" s="3"/>
      <c r="S3" s="95" t="s">
        <v>489</v>
      </c>
    </row>
    <row r="4" spans="1:19" ht="18" customHeight="1">
      <c r="A4" s="1737" t="s">
        <v>1035</v>
      </c>
      <c r="B4" s="1775" t="s">
        <v>336</v>
      </c>
      <c r="C4" s="1775"/>
      <c r="D4" s="1775"/>
      <c r="E4" s="1775"/>
      <c r="F4" s="1775"/>
      <c r="G4" s="1774"/>
      <c r="H4" s="1772" t="s">
        <v>335</v>
      </c>
      <c r="I4" s="1775"/>
      <c r="J4" s="1775"/>
      <c r="K4" s="1775"/>
      <c r="L4" s="1775"/>
      <c r="M4" s="1774"/>
      <c r="N4" s="1775" t="s">
        <v>1075</v>
      </c>
      <c r="O4" s="1775"/>
      <c r="P4" s="1775"/>
      <c r="Q4" s="1775"/>
      <c r="R4" s="1775"/>
      <c r="S4" s="1774"/>
    </row>
    <row r="5" spans="1:19" ht="18" customHeight="1">
      <c r="A5" s="1743"/>
      <c r="B5" s="1780" t="s">
        <v>1003</v>
      </c>
      <c r="C5" s="1779"/>
      <c r="D5" s="1778" t="s">
        <v>1004</v>
      </c>
      <c r="E5" s="1779"/>
      <c r="F5" s="1780" t="s">
        <v>958</v>
      </c>
      <c r="G5" s="1779"/>
      <c r="H5" s="1778" t="s">
        <v>1003</v>
      </c>
      <c r="I5" s="1779"/>
      <c r="J5" s="1778" t="s">
        <v>1004</v>
      </c>
      <c r="K5" s="1779"/>
      <c r="L5" s="1780" t="s">
        <v>958</v>
      </c>
      <c r="M5" s="1779"/>
      <c r="N5" s="1778" t="s">
        <v>1003</v>
      </c>
      <c r="O5" s="1779"/>
      <c r="P5" s="1778" t="s">
        <v>1004</v>
      </c>
      <c r="Q5" s="1779"/>
      <c r="R5" s="1780" t="s">
        <v>958</v>
      </c>
      <c r="S5" s="1779"/>
    </row>
    <row r="6" spans="1:19" ht="18" customHeight="1">
      <c r="A6" s="1738"/>
      <c r="B6" s="336" t="s">
        <v>979</v>
      </c>
      <c r="C6" s="923" t="s">
        <v>1036</v>
      </c>
      <c r="D6" s="448" t="s">
        <v>979</v>
      </c>
      <c r="E6" s="923" t="s">
        <v>1036</v>
      </c>
      <c r="F6" s="336" t="s">
        <v>979</v>
      </c>
      <c r="G6" s="923" t="s">
        <v>1036</v>
      </c>
      <c r="H6" s="448" t="s">
        <v>979</v>
      </c>
      <c r="I6" s="923" t="s">
        <v>1036</v>
      </c>
      <c r="J6" s="448" t="s">
        <v>979</v>
      </c>
      <c r="K6" s="923" t="s">
        <v>1036</v>
      </c>
      <c r="L6" s="336" t="s">
        <v>979</v>
      </c>
      <c r="M6" s="923" t="s">
        <v>1036</v>
      </c>
      <c r="N6" s="448" t="s">
        <v>979</v>
      </c>
      <c r="O6" s="923" t="s">
        <v>1036</v>
      </c>
      <c r="P6" s="448" t="s">
        <v>979</v>
      </c>
      <c r="Q6" s="923" t="s">
        <v>1036</v>
      </c>
      <c r="R6" s="336" t="s">
        <v>979</v>
      </c>
      <c r="S6" s="923" t="s">
        <v>1036</v>
      </c>
    </row>
    <row r="7" spans="1:19" ht="15.75" customHeight="1">
      <c r="A7" s="199" t="s">
        <v>928</v>
      </c>
      <c r="B7" s="118" t="s">
        <v>929</v>
      </c>
      <c r="C7" s="120" t="s">
        <v>930</v>
      </c>
      <c r="D7" s="118" t="s">
        <v>931</v>
      </c>
      <c r="E7" s="122" t="s">
        <v>932</v>
      </c>
      <c r="F7" s="119" t="s">
        <v>933</v>
      </c>
      <c r="G7" s="122" t="s">
        <v>934</v>
      </c>
      <c r="H7" s="118" t="s">
        <v>959</v>
      </c>
      <c r="I7" s="120" t="s">
        <v>960</v>
      </c>
      <c r="J7" s="118" t="s">
        <v>961</v>
      </c>
      <c r="K7" s="120" t="s">
        <v>962</v>
      </c>
      <c r="L7" s="119" t="s">
        <v>1037</v>
      </c>
      <c r="M7" s="122" t="s">
        <v>1038</v>
      </c>
      <c r="N7" s="121" t="s">
        <v>1039</v>
      </c>
      <c r="O7" s="122" t="s">
        <v>1040</v>
      </c>
      <c r="P7" s="121" t="s">
        <v>1041</v>
      </c>
      <c r="Q7" s="122" t="s">
        <v>1042</v>
      </c>
      <c r="R7" s="119" t="s">
        <v>1044</v>
      </c>
      <c r="S7" s="120" t="s">
        <v>1043</v>
      </c>
    </row>
    <row r="8" spans="1:19" ht="19.5" customHeight="1">
      <c r="A8" s="929" t="s">
        <v>1045</v>
      </c>
      <c r="B8" s="335">
        <v>286329</v>
      </c>
      <c r="C8" s="911">
        <f t="shared" ref="C8:C25" si="0">ROUND(B8/B$26*100,2)</f>
        <v>9.2100000000000009</v>
      </c>
      <c r="D8" s="335">
        <v>277835</v>
      </c>
      <c r="E8" s="911">
        <f t="shared" ref="E8:E25" si="1">ROUND(D8/D$26*100,2)</f>
        <v>9.3699999999999992</v>
      </c>
      <c r="F8" s="1445">
        <f t="shared" ref="F8:F25" si="2">B8+D8</f>
        <v>564164</v>
      </c>
      <c r="G8" s="911">
        <f t="shared" ref="G8:G16" si="3">ROUND(F8/F$26*100,2)</f>
        <v>9.2899999999999991</v>
      </c>
      <c r="H8" s="335">
        <v>78770</v>
      </c>
      <c r="I8" s="911">
        <f t="shared" ref="I8:I25" si="4">ROUND(H8/H$26*100,2)</f>
        <v>7.4</v>
      </c>
      <c r="J8" s="335">
        <v>75135</v>
      </c>
      <c r="K8" s="911">
        <f t="shared" ref="K8:K25" si="5">ROUND(J8/J$26*100,2)</f>
        <v>7.34</v>
      </c>
      <c r="L8" s="1445">
        <f t="shared" ref="L8:L25" si="6">H8+J8</f>
        <v>153905</v>
      </c>
      <c r="M8" s="911">
        <f t="shared" ref="M8:M22" si="7">ROUND(L8/L$26*100,2)</f>
        <v>7.37</v>
      </c>
      <c r="N8" s="1448">
        <f t="shared" ref="N8:N25" si="8">B8+H8</f>
        <v>365099</v>
      </c>
      <c r="O8" s="911">
        <f>ROUND(N8/N$26*100,2)</f>
        <v>8.75</v>
      </c>
      <c r="P8" s="1448">
        <f t="shared" ref="P8:P25" si="9">D8+J8</f>
        <v>352970</v>
      </c>
      <c r="Q8" s="911">
        <f t="shared" ref="Q8:Q25" si="10">ROUND(P8/P$26*100,2)</f>
        <v>8.85</v>
      </c>
      <c r="R8" s="1445">
        <f t="shared" ref="R8:R25" si="11">N8+P8</f>
        <v>718069</v>
      </c>
      <c r="S8" s="911">
        <f t="shared" ref="S8:S19" si="12">ROUND(R8/R$26*100,2)</f>
        <v>8.8000000000000007</v>
      </c>
    </row>
    <row r="9" spans="1:19" ht="19.5" customHeight="1">
      <c r="A9" s="292" t="s">
        <v>1046</v>
      </c>
      <c r="B9" s="335">
        <v>315800</v>
      </c>
      <c r="C9" s="911">
        <f t="shared" si="0"/>
        <v>10.16</v>
      </c>
      <c r="D9" s="335">
        <v>303679</v>
      </c>
      <c r="E9" s="911">
        <f t="shared" si="1"/>
        <v>10.24</v>
      </c>
      <c r="F9" s="1445">
        <f t="shared" si="2"/>
        <v>619479</v>
      </c>
      <c r="G9" s="911">
        <f t="shared" si="3"/>
        <v>10.199999999999999</v>
      </c>
      <c r="H9" s="335">
        <v>85911</v>
      </c>
      <c r="I9" s="911">
        <f t="shared" si="4"/>
        <v>8.07</v>
      </c>
      <c r="J9" s="335">
        <v>82474</v>
      </c>
      <c r="K9" s="911">
        <f t="shared" si="5"/>
        <v>8.06</v>
      </c>
      <c r="L9" s="1445">
        <f t="shared" si="6"/>
        <v>168385</v>
      </c>
      <c r="M9" s="911">
        <f t="shared" si="7"/>
        <v>8.07</v>
      </c>
      <c r="N9" s="1448">
        <f t="shared" si="8"/>
        <v>401711</v>
      </c>
      <c r="O9" s="911">
        <f>ROUND(N9/N$26*100,2)</f>
        <v>9.6199999999999992</v>
      </c>
      <c r="P9" s="1448">
        <f t="shared" si="9"/>
        <v>386153</v>
      </c>
      <c r="Q9" s="911">
        <f t="shared" si="10"/>
        <v>9.68</v>
      </c>
      <c r="R9" s="1445">
        <f t="shared" si="11"/>
        <v>787864</v>
      </c>
      <c r="S9" s="911">
        <f t="shared" si="12"/>
        <v>9.65</v>
      </c>
    </row>
    <row r="10" spans="1:19" ht="19.5" customHeight="1">
      <c r="A10" s="292" t="s">
        <v>1047</v>
      </c>
      <c r="B10" s="335">
        <v>334540</v>
      </c>
      <c r="C10" s="911">
        <f t="shared" si="0"/>
        <v>10.76</v>
      </c>
      <c r="D10" s="335">
        <v>322810</v>
      </c>
      <c r="E10" s="554">
        <f t="shared" si="1"/>
        <v>10.89</v>
      </c>
      <c r="F10" s="1446">
        <f t="shared" si="2"/>
        <v>657350</v>
      </c>
      <c r="G10" s="911">
        <f t="shared" si="3"/>
        <v>10.82</v>
      </c>
      <c r="H10" s="335">
        <v>95809</v>
      </c>
      <c r="I10" s="911">
        <f t="shared" si="4"/>
        <v>9</v>
      </c>
      <c r="J10" s="335">
        <v>90648</v>
      </c>
      <c r="K10" s="911">
        <f t="shared" si="5"/>
        <v>8.86</v>
      </c>
      <c r="L10" s="1445">
        <f t="shared" si="6"/>
        <v>186457</v>
      </c>
      <c r="M10" s="911">
        <f t="shared" si="7"/>
        <v>8.93</v>
      </c>
      <c r="N10" s="1448">
        <f t="shared" si="8"/>
        <v>430349</v>
      </c>
      <c r="O10" s="911">
        <f>ROUND(N10/N$26*100,2)</f>
        <v>10.31</v>
      </c>
      <c r="P10" s="1448">
        <f t="shared" si="9"/>
        <v>413458</v>
      </c>
      <c r="Q10" s="911">
        <f t="shared" si="10"/>
        <v>10.37</v>
      </c>
      <c r="R10" s="1445">
        <f t="shared" si="11"/>
        <v>843807</v>
      </c>
      <c r="S10" s="911">
        <f t="shared" si="12"/>
        <v>10.34</v>
      </c>
    </row>
    <row r="11" spans="1:19" ht="19.5" customHeight="1">
      <c r="A11" s="292" t="s">
        <v>1048</v>
      </c>
      <c r="B11" s="335">
        <v>325804</v>
      </c>
      <c r="C11" s="911">
        <f t="shared" si="0"/>
        <v>10.48</v>
      </c>
      <c r="D11" s="335">
        <v>316430</v>
      </c>
      <c r="E11" s="911">
        <f t="shared" si="1"/>
        <v>10.67</v>
      </c>
      <c r="F11" s="1445">
        <f t="shared" si="2"/>
        <v>642234</v>
      </c>
      <c r="G11" s="911">
        <f t="shared" si="3"/>
        <v>10.57</v>
      </c>
      <c r="H11" s="335">
        <v>98636</v>
      </c>
      <c r="I11" s="911">
        <f>ROUND(H11/H$26*100,2)-0.01</f>
        <v>9.26</v>
      </c>
      <c r="J11" s="335">
        <v>96930</v>
      </c>
      <c r="K11" s="911">
        <f t="shared" si="5"/>
        <v>9.4700000000000006</v>
      </c>
      <c r="L11" s="1445">
        <f t="shared" si="6"/>
        <v>195566</v>
      </c>
      <c r="M11" s="911">
        <f t="shared" si="7"/>
        <v>9.3699999999999992</v>
      </c>
      <c r="N11" s="1448">
        <f t="shared" si="8"/>
        <v>424440</v>
      </c>
      <c r="O11" s="911">
        <f t="shared" ref="O11:O25" si="13">ROUND(N11/N$26*100,2)</f>
        <v>10.17</v>
      </c>
      <c r="P11" s="1448">
        <f t="shared" si="9"/>
        <v>413360</v>
      </c>
      <c r="Q11" s="911">
        <f t="shared" si="10"/>
        <v>10.36</v>
      </c>
      <c r="R11" s="1445">
        <f t="shared" si="11"/>
        <v>837800</v>
      </c>
      <c r="S11" s="911">
        <f>ROUND(R11/R$26*100,2)+0.01</f>
        <v>10.27</v>
      </c>
    </row>
    <row r="12" spans="1:19" ht="19.5" customHeight="1">
      <c r="A12" s="292" t="s">
        <v>1049</v>
      </c>
      <c r="B12" s="335">
        <v>310109</v>
      </c>
      <c r="C12" s="911">
        <f t="shared" si="0"/>
        <v>9.9700000000000006</v>
      </c>
      <c r="D12" s="335">
        <v>308573</v>
      </c>
      <c r="E12" s="911">
        <f t="shared" si="1"/>
        <v>10.41</v>
      </c>
      <c r="F12" s="1445">
        <f t="shared" si="2"/>
        <v>618682</v>
      </c>
      <c r="G12" s="911">
        <f t="shared" si="3"/>
        <v>10.19</v>
      </c>
      <c r="H12" s="335">
        <v>99078</v>
      </c>
      <c r="I12" s="911">
        <f t="shared" si="4"/>
        <v>9.31</v>
      </c>
      <c r="J12" s="335">
        <v>104489</v>
      </c>
      <c r="K12" s="911">
        <f t="shared" si="5"/>
        <v>10.210000000000001</v>
      </c>
      <c r="L12" s="1445">
        <f t="shared" si="6"/>
        <v>203567</v>
      </c>
      <c r="M12" s="911">
        <f t="shared" si="7"/>
        <v>9.75</v>
      </c>
      <c r="N12" s="1448">
        <f t="shared" si="8"/>
        <v>409187</v>
      </c>
      <c r="O12" s="911">
        <f t="shared" si="13"/>
        <v>9.8000000000000007</v>
      </c>
      <c r="P12" s="1448">
        <f t="shared" si="9"/>
        <v>413062</v>
      </c>
      <c r="Q12" s="911">
        <f t="shared" si="10"/>
        <v>10.36</v>
      </c>
      <c r="R12" s="1445">
        <f t="shared" si="11"/>
        <v>822249</v>
      </c>
      <c r="S12" s="911">
        <f t="shared" si="12"/>
        <v>10.07</v>
      </c>
    </row>
    <row r="13" spans="1:19" ht="19.5" customHeight="1">
      <c r="A13" s="292" t="s">
        <v>1050</v>
      </c>
      <c r="B13" s="335">
        <v>285201</v>
      </c>
      <c r="C13" s="911">
        <f t="shared" si="0"/>
        <v>9.17</v>
      </c>
      <c r="D13" s="335">
        <v>271571</v>
      </c>
      <c r="E13" s="911">
        <f t="shared" si="1"/>
        <v>9.16</v>
      </c>
      <c r="F13" s="1445">
        <f t="shared" si="2"/>
        <v>556772</v>
      </c>
      <c r="G13" s="911">
        <f t="shared" si="3"/>
        <v>9.17</v>
      </c>
      <c r="H13" s="335">
        <v>96870</v>
      </c>
      <c r="I13" s="911">
        <f t="shared" si="4"/>
        <v>9.1</v>
      </c>
      <c r="J13" s="335">
        <v>100512</v>
      </c>
      <c r="K13" s="911">
        <f t="shared" si="5"/>
        <v>9.82</v>
      </c>
      <c r="L13" s="1445">
        <f t="shared" si="6"/>
        <v>197382</v>
      </c>
      <c r="M13" s="911">
        <f t="shared" si="7"/>
        <v>9.4499999999999993</v>
      </c>
      <c r="N13" s="1448">
        <f t="shared" si="8"/>
        <v>382071</v>
      </c>
      <c r="O13" s="911">
        <f t="shared" si="13"/>
        <v>9.15</v>
      </c>
      <c r="P13" s="1448">
        <f t="shared" si="9"/>
        <v>372083</v>
      </c>
      <c r="Q13" s="911">
        <f t="shared" si="10"/>
        <v>9.33</v>
      </c>
      <c r="R13" s="1445">
        <f t="shared" si="11"/>
        <v>754154</v>
      </c>
      <c r="S13" s="911">
        <f t="shared" si="12"/>
        <v>9.24</v>
      </c>
    </row>
    <row r="14" spans="1:19" ht="19.5" customHeight="1">
      <c r="A14" s="292" t="s">
        <v>1051</v>
      </c>
      <c r="B14" s="335">
        <v>227191</v>
      </c>
      <c r="C14" s="911">
        <f t="shared" si="0"/>
        <v>7.31</v>
      </c>
      <c r="D14" s="335">
        <v>212492</v>
      </c>
      <c r="E14" s="911">
        <f t="shared" si="1"/>
        <v>7.17</v>
      </c>
      <c r="F14" s="1445">
        <f t="shared" si="2"/>
        <v>439683</v>
      </c>
      <c r="G14" s="911">
        <f t="shared" si="3"/>
        <v>7.24</v>
      </c>
      <c r="H14" s="335">
        <v>87495</v>
      </c>
      <c r="I14" s="911">
        <f t="shared" si="4"/>
        <v>8.2200000000000006</v>
      </c>
      <c r="J14" s="335">
        <v>86119</v>
      </c>
      <c r="K14" s="911">
        <f t="shared" si="5"/>
        <v>8.42</v>
      </c>
      <c r="L14" s="1445">
        <f t="shared" si="6"/>
        <v>173614</v>
      </c>
      <c r="M14" s="911">
        <f t="shared" si="7"/>
        <v>8.32</v>
      </c>
      <c r="N14" s="1448">
        <f t="shared" si="8"/>
        <v>314686</v>
      </c>
      <c r="O14" s="911">
        <f t="shared" si="13"/>
        <v>7.54</v>
      </c>
      <c r="P14" s="1448">
        <f t="shared" si="9"/>
        <v>298611</v>
      </c>
      <c r="Q14" s="911">
        <f t="shared" si="10"/>
        <v>7.49</v>
      </c>
      <c r="R14" s="1445">
        <f t="shared" si="11"/>
        <v>613297</v>
      </c>
      <c r="S14" s="911">
        <f t="shared" si="12"/>
        <v>7.51</v>
      </c>
    </row>
    <row r="15" spans="1:19" ht="19.5" customHeight="1">
      <c r="A15" s="292" t="s">
        <v>1052</v>
      </c>
      <c r="B15" s="335">
        <v>220291</v>
      </c>
      <c r="C15" s="911">
        <f>ROUND(B15/B$26*100,2)-0.01</f>
        <v>7.08</v>
      </c>
      <c r="D15" s="335">
        <v>210527</v>
      </c>
      <c r="E15" s="911">
        <f t="shared" si="1"/>
        <v>7.1</v>
      </c>
      <c r="F15" s="1445">
        <f t="shared" si="2"/>
        <v>430818</v>
      </c>
      <c r="G15" s="911">
        <f t="shared" si="3"/>
        <v>7.09</v>
      </c>
      <c r="H15" s="335">
        <v>87659</v>
      </c>
      <c r="I15" s="911">
        <f t="shared" si="4"/>
        <v>8.23</v>
      </c>
      <c r="J15" s="335">
        <v>85630</v>
      </c>
      <c r="K15" s="911">
        <f t="shared" si="5"/>
        <v>8.3699999999999992</v>
      </c>
      <c r="L15" s="1445">
        <f t="shared" si="6"/>
        <v>173289</v>
      </c>
      <c r="M15" s="911">
        <f t="shared" si="7"/>
        <v>8.3000000000000007</v>
      </c>
      <c r="N15" s="1448">
        <f t="shared" si="8"/>
        <v>307950</v>
      </c>
      <c r="O15" s="911">
        <f t="shared" si="13"/>
        <v>7.38</v>
      </c>
      <c r="P15" s="1448">
        <f t="shared" si="9"/>
        <v>296157</v>
      </c>
      <c r="Q15" s="911">
        <f t="shared" si="10"/>
        <v>7.43</v>
      </c>
      <c r="R15" s="1445">
        <f t="shared" si="11"/>
        <v>604107</v>
      </c>
      <c r="S15" s="911">
        <f t="shared" si="12"/>
        <v>7.4</v>
      </c>
    </row>
    <row r="16" spans="1:19" ht="19.5" customHeight="1">
      <c r="A16" s="292" t="s">
        <v>1053</v>
      </c>
      <c r="B16" s="335">
        <v>186450</v>
      </c>
      <c r="C16" s="911">
        <f t="shared" si="0"/>
        <v>6</v>
      </c>
      <c r="D16" s="335">
        <v>167249</v>
      </c>
      <c r="E16" s="911">
        <f t="shared" si="1"/>
        <v>5.64</v>
      </c>
      <c r="F16" s="1445">
        <f t="shared" si="2"/>
        <v>353699</v>
      </c>
      <c r="G16" s="911">
        <f t="shared" si="3"/>
        <v>5.82</v>
      </c>
      <c r="H16" s="335">
        <v>76708</v>
      </c>
      <c r="I16" s="911">
        <f t="shared" si="4"/>
        <v>7.21</v>
      </c>
      <c r="J16" s="335">
        <v>68606</v>
      </c>
      <c r="K16" s="911">
        <f>ROUND(J16/J$26*100,2)+0.01</f>
        <v>6.71</v>
      </c>
      <c r="L16" s="1445">
        <f t="shared" si="6"/>
        <v>145314</v>
      </c>
      <c r="M16" s="911">
        <f t="shared" si="7"/>
        <v>6.96</v>
      </c>
      <c r="N16" s="1448">
        <f t="shared" si="8"/>
        <v>263158</v>
      </c>
      <c r="O16" s="911">
        <f>ROUND(N16/N$26*100,2)-0.01</f>
        <v>6.3</v>
      </c>
      <c r="P16" s="1448">
        <f t="shared" si="9"/>
        <v>235855</v>
      </c>
      <c r="Q16" s="911">
        <f t="shared" si="10"/>
        <v>5.91</v>
      </c>
      <c r="R16" s="1445">
        <f t="shared" si="11"/>
        <v>499013</v>
      </c>
      <c r="S16" s="911">
        <f t="shared" si="12"/>
        <v>6.11</v>
      </c>
    </row>
    <row r="17" spans="1:19" ht="19.5" customHeight="1">
      <c r="A17" s="292" t="s">
        <v>1054</v>
      </c>
      <c r="B17" s="335">
        <v>161892</v>
      </c>
      <c r="C17" s="911">
        <f t="shared" si="0"/>
        <v>5.21</v>
      </c>
      <c r="D17" s="335">
        <v>144556</v>
      </c>
      <c r="E17" s="911">
        <f t="shared" si="1"/>
        <v>4.88</v>
      </c>
      <c r="F17" s="1445">
        <f t="shared" si="2"/>
        <v>306448</v>
      </c>
      <c r="G17" s="911">
        <f t="shared" ref="G17:G25" si="14">ROUND(F17/F$26*100,2)</f>
        <v>5.05</v>
      </c>
      <c r="H17" s="335">
        <v>67970</v>
      </c>
      <c r="I17" s="911">
        <f t="shared" si="4"/>
        <v>6.38</v>
      </c>
      <c r="J17" s="335">
        <v>60639</v>
      </c>
      <c r="K17" s="911">
        <f t="shared" si="5"/>
        <v>5.93</v>
      </c>
      <c r="L17" s="1445">
        <f t="shared" si="6"/>
        <v>128609</v>
      </c>
      <c r="M17" s="911">
        <f t="shared" si="7"/>
        <v>6.16</v>
      </c>
      <c r="N17" s="1448">
        <f t="shared" si="8"/>
        <v>229862</v>
      </c>
      <c r="O17" s="911">
        <f t="shared" si="13"/>
        <v>5.51</v>
      </c>
      <c r="P17" s="1448">
        <f t="shared" si="9"/>
        <v>205195</v>
      </c>
      <c r="Q17" s="911">
        <f>ROUND(P17/P$26*100,2)-0.01</f>
        <v>5.1400000000000006</v>
      </c>
      <c r="R17" s="1445">
        <f t="shared" si="11"/>
        <v>435057</v>
      </c>
      <c r="S17" s="911">
        <f t="shared" si="12"/>
        <v>5.33</v>
      </c>
    </row>
    <row r="18" spans="1:19" ht="19.5" customHeight="1">
      <c r="A18" s="292" t="s">
        <v>1055</v>
      </c>
      <c r="B18" s="335">
        <v>125758</v>
      </c>
      <c r="C18" s="911">
        <f t="shared" si="0"/>
        <v>4.04</v>
      </c>
      <c r="D18" s="335">
        <v>107176</v>
      </c>
      <c r="E18" s="911">
        <f t="shared" si="1"/>
        <v>3.61</v>
      </c>
      <c r="F18" s="1445">
        <f t="shared" si="2"/>
        <v>232934</v>
      </c>
      <c r="G18" s="911">
        <f t="shared" si="14"/>
        <v>3.83</v>
      </c>
      <c r="H18" s="335">
        <v>53982</v>
      </c>
      <c r="I18" s="911">
        <f t="shared" si="4"/>
        <v>5.07</v>
      </c>
      <c r="J18" s="335">
        <v>45819</v>
      </c>
      <c r="K18" s="911">
        <f t="shared" si="5"/>
        <v>4.4800000000000004</v>
      </c>
      <c r="L18" s="1445">
        <f t="shared" si="6"/>
        <v>99801</v>
      </c>
      <c r="M18" s="911">
        <f t="shared" si="7"/>
        <v>4.78</v>
      </c>
      <c r="N18" s="1448">
        <f t="shared" si="8"/>
        <v>179740</v>
      </c>
      <c r="O18" s="911">
        <f t="shared" si="13"/>
        <v>4.3099999999999996</v>
      </c>
      <c r="P18" s="1448">
        <f t="shared" si="9"/>
        <v>152995</v>
      </c>
      <c r="Q18" s="911">
        <f t="shared" si="10"/>
        <v>3.84</v>
      </c>
      <c r="R18" s="1445">
        <f t="shared" si="11"/>
        <v>332735</v>
      </c>
      <c r="S18" s="911">
        <f t="shared" si="12"/>
        <v>4.08</v>
      </c>
    </row>
    <row r="19" spans="1:19" ht="19.5" customHeight="1">
      <c r="A19" s="292" t="s">
        <v>1056</v>
      </c>
      <c r="B19" s="335">
        <v>97400</v>
      </c>
      <c r="C19" s="911">
        <f t="shared" si="0"/>
        <v>3.13</v>
      </c>
      <c r="D19" s="335">
        <v>86767</v>
      </c>
      <c r="E19" s="911">
        <f t="shared" si="1"/>
        <v>2.93</v>
      </c>
      <c r="F19" s="1445">
        <f t="shared" si="2"/>
        <v>184167</v>
      </c>
      <c r="G19" s="911">
        <f t="shared" si="14"/>
        <v>3.03</v>
      </c>
      <c r="H19" s="335">
        <v>41114</v>
      </c>
      <c r="I19" s="911">
        <f t="shared" si="4"/>
        <v>3.86</v>
      </c>
      <c r="J19" s="335">
        <v>35619</v>
      </c>
      <c r="K19" s="911">
        <f t="shared" si="5"/>
        <v>3.48</v>
      </c>
      <c r="L19" s="1445">
        <f t="shared" si="6"/>
        <v>76733</v>
      </c>
      <c r="M19" s="911">
        <f t="shared" si="7"/>
        <v>3.68</v>
      </c>
      <c r="N19" s="1448">
        <f t="shared" si="8"/>
        <v>138514</v>
      </c>
      <c r="O19" s="911">
        <f t="shared" si="13"/>
        <v>3.32</v>
      </c>
      <c r="P19" s="1448">
        <f t="shared" si="9"/>
        <v>122386</v>
      </c>
      <c r="Q19" s="911">
        <f t="shared" si="10"/>
        <v>3.07</v>
      </c>
      <c r="R19" s="1445">
        <f t="shared" si="11"/>
        <v>260900</v>
      </c>
      <c r="S19" s="911">
        <f t="shared" si="12"/>
        <v>3.2</v>
      </c>
    </row>
    <row r="20" spans="1:19" ht="19.5" customHeight="1">
      <c r="A20" s="292" t="s">
        <v>1057</v>
      </c>
      <c r="B20" s="335">
        <v>79445</v>
      </c>
      <c r="C20" s="911">
        <f t="shared" si="0"/>
        <v>2.56</v>
      </c>
      <c r="D20" s="335">
        <v>76330</v>
      </c>
      <c r="E20" s="911">
        <f t="shared" si="1"/>
        <v>2.57</v>
      </c>
      <c r="F20" s="1445">
        <f t="shared" si="2"/>
        <v>155775</v>
      </c>
      <c r="G20" s="911">
        <f t="shared" si="14"/>
        <v>2.56</v>
      </c>
      <c r="H20" s="335">
        <v>33209</v>
      </c>
      <c r="I20" s="911">
        <f t="shared" si="4"/>
        <v>3.12</v>
      </c>
      <c r="J20" s="335">
        <v>30206</v>
      </c>
      <c r="K20" s="911">
        <f t="shared" si="5"/>
        <v>2.95</v>
      </c>
      <c r="L20" s="1445">
        <f t="shared" si="6"/>
        <v>63415</v>
      </c>
      <c r="M20" s="911">
        <f t="shared" si="7"/>
        <v>3.04</v>
      </c>
      <c r="N20" s="1448">
        <f t="shared" si="8"/>
        <v>112654</v>
      </c>
      <c r="O20" s="911">
        <f t="shared" si="13"/>
        <v>2.7</v>
      </c>
      <c r="P20" s="1448">
        <f t="shared" si="9"/>
        <v>106536</v>
      </c>
      <c r="Q20" s="911">
        <f t="shared" si="10"/>
        <v>2.67</v>
      </c>
      <c r="R20" s="1445">
        <f t="shared" si="11"/>
        <v>219190</v>
      </c>
      <c r="S20" s="911">
        <f t="shared" ref="S20:S25" si="15">ROUND(R20/R$26*100,2)</f>
        <v>2.69</v>
      </c>
    </row>
    <row r="21" spans="1:19" ht="19.5" customHeight="1">
      <c r="A21" s="292" t="s">
        <v>1058</v>
      </c>
      <c r="B21" s="335">
        <v>60788</v>
      </c>
      <c r="C21" s="911">
        <f>ROUND(B21/B$26*100,2)-0.01</f>
        <v>1.95</v>
      </c>
      <c r="D21" s="335">
        <v>59557</v>
      </c>
      <c r="E21" s="911">
        <f t="shared" si="1"/>
        <v>2.0099999999999998</v>
      </c>
      <c r="F21" s="1445">
        <f t="shared" si="2"/>
        <v>120345</v>
      </c>
      <c r="G21" s="911">
        <f t="shared" si="14"/>
        <v>1.98</v>
      </c>
      <c r="H21" s="335">
        <v>23486</v>
      </c>
      <c r="I21" s="911">
        <f t="shared" si="4"/>
        <v>2.21</v>
      </c>
      <c r="J21" s="335">
        <v>21626</v>
      </c>
      <c r="K21" s="911">
        <f t="shared" si="5"/>
        <v>2.11</v>
      </c>
      <c r="L21" s="1445">
        <f t="shared" si="6"/>
        <v>45112</v>
      </c>
      <c r="M21" s="911">
        <f t="shared" si="7"/>
        <v>2.16</v>
      </c>
      <c r="N21" s="1448">
        <f t="shared" si="8"/>
        <v>84274</v>
      </c>
      <c r="O21" s="911">
        <f t="shared" si="13"/>
        <v>2.02</v>
      </c>
      <c r="P21" s="1448">
        <f t="shared" si="9"/>
        <v>81183</v>
      </c>
      <c r="Q21" s="911">
        <f t="shared" si="10"/>
        <v>2.04</v>
      </c>
      <c r="R21" s="1445">
        <f t="shared" si="11"/>
        <v>165457</v>
      </c>
      <c r="S21" s="911">
        <f t="shared" si="15"/>
        <v>2.0299999999999998</v>
      </c>
    </row>
    <row r="22" spans="1:19" ht="19.5" customHeight="1">
      <c r="A22" s="292" t="s">
        <v>1061</v>
      </c>
      <c r="B22" s="335">
        <v>40182</v>
      </c>
      <c r="C22" s="911">
        <f t="shared" si="0"/>
        <v>1.29</v>
      </c>
      <c r="D22" s="335">
        <v>41531</v>
      </c>
      <c r="E22" s="911">
        <f t="shared" si="1"/>
        <v>1.4</v>
      </c>
      <c r="F22" s="1445">
        <f t="shared" si="2"/>
        <v>81713</v>
      </c>
      <c r="G22" s="911">
        <f t="shared" si="14"/>
        <v>1.35</v>
      </c>
      <c r="H22" s="335">
        <v>16453</v>
      </c>
      <c r="I22" s="911">
        <f t="shared" si="4"/>
        <v>1.55</v>
      </c>
      <c r="J22" s="335">
        <v>15955</v>
      </c>
      <c r="K22" s="911">
        <f t="shared" si="5"/>
        <v>1.56</v>
      </c>
      <c r="L22" s="1445">
        <f t="shared" si="6"/>
        <v>32408</v>
      </c>
      <c r="M22" s="911">
        <f t="shared" si="7"/>
        <v>1.55</v>
      </c>
      <c r="N22" s="1448">
        <f t="shared" si="8"/>
        <v>56635</v>
      </c>
      <c r="O22" s="911">
        <f t="shared" si="13"/>
        <v>1.36</v>
      </c>
      <c r="P22" s="1448">
        <f t="shared" si="9"/>
        <v>57486</v>
      </c>
      <c r="Q22" s="911">
        <f t="shared" si="10"/>
        <v>1.44</v>
      </c>
      <c r="R22" s="1445">
        <f t="shared" si="11"/>
        <v>114121</v>
      </c>
      <c r="S22" s="911">
        <f t="shared" si="15"/>
        <v>1.4</v>
      </c>
    </row>
    <row r="23" spans="1:19" ht="19.5" customHeight="1">
      <c r="A23" s="292" t="s">
        <v>1062</v>
      </c>
      <c r="B23" s="335">
        <v>21629</v>
      </c>
      <c r="C23" s="911">
        <f t="shared" si="0"/>
        <v>0.7</v>
      </c>
      <c r="D23" s="335">
        <v>22833</v>
      </c>
      <c r="E23" s="911">
        <f t="shared" si="1"/>
        <v>0.77</v>
      </c>
      <c r="F23" s="1445">
        <f t="shared" si="2"/>
        <v>44462</v>
      </c>
      <c r="G23" s="911">
        <f t="shared" si="14"/>
        <v>0.73</v>
      </c>
      <c r="H23" s="335">
        <v>8971</v>
      </c>
      <c r="I23" s="911">
        <f t="shared" si="4"/>
        <v>0.84</v>
      </c>
      <c r="J23" s="335">
        <v>8581</v>
      </c>
      <c r="K23" s="911">
        <f t="shared" si="5"/>
        <v>0.84</v>
      </c>
      <c r="L23" s="1445">
        <f t="shared" si="6"/>
        <v>17552</v>
      </c>
      <c r="M23" s="911">
        <f>ROUND(L23/L$26*100,2)</f>
        <v>0.84</v>
      </c>
      <c r="N23" s="1448">
        <f t="shared" si="8"/>
        <v>30600</v>
      </c>
      <c r="O23" s="911">
        <f t="shared" si="13"/>
        <v>0.73</v>
      </c>
      <c r="P23" s="1448">
        <f t="shared" si="9"/>
        <v>31414</v>
      </c>
      <c r="Q23" s="911">
        <f t="shared" si="10"/>
        <v>0.79</v>
      </c>
      <c r="R23" s="1445">
        <f t="shared" si="11"/>
        <v>62014</v>
      </c>
      <c r="S23" s="911">
        <f t="shared" si="15"/>
        <v>0.76</v>
      </c>
    </row>
    <row r="24" spans="1:19" ht="19.5" customHeight="1">
      <c r="A24" s="292" t="s">
        <v>1063</v>
      </c>
      <c r="B24" s="335">
        <v>26472</v>
      </c>
      <c r="C24" s="911">
        <f t="shared" si="0"/>
        <v>0.85</v>
      </c>
      <c r="D24" s="335">
        <v>31866</v>
      </c>
      <c r="E24" s="911">
        <f t="shared" si="1"/>
        <v>1.07</v>
      </c>
      <c r="F24" s="1445">
        <f t="shared" si="2"/>
        <v>58338</v>
      </c>
      <c r="G24" s="911">
        <f t="shared" si="14"/>
        <v>0.96</v>
      </c>
      <c r="H24" s="335">
        <v>10311</v>
      </c>
      <c r="I24" s="911">
        <f t="shared" si="4"/>
        <v>0.97</v>
      </c>
      <c r="J24" s="335">
        <v>12492</v>
      </c>
      <c r="K24" s="911">
        <f t="shared" si="5"/>
        <v>1.22</v>
      </c>
      <c r="L24" s="1445">
        <f t="shared" si="6"/>
        <v>22803</v>
      </c>
      <c r="M24" s="911">
        <f>ROUND(L24/L$26*100,2)</f>
        <v>1.0900000000000001</v>
      </c>
      <c r="N24" s="1448">
        <f t="shared" si="8"/>
        <v>36783</v>
      </c>
      <c r="O24" s="911">
        <f t="shared" si="13"/>
        <v>0.88</v>
      </c>
      <c r="P24" s="1448">
        <f t="shared" si="9"/>
        <v>44358</v>
      </c>
      <c r="Q24" s="911">
        <f t="shared" si="10"/>
        <v>1.1100000000000001</v>
      </c>
      <c r="R24" s="1445">
        <f t="shared" si="11"/>
        <v>81141</v>
      </c>
      <c r="S24" s="911">
        <f t="shared" si="15"/>
        <v>0.99</v>
      </c>
    </row>
    <row r="25" spans="1:19" ht="27" customHeight="1">
      <c r="A25" s="925" t="s">
        <v>1059</v>
      </c>
      <c r="B25" s="335">
        <v>3938</v>
      </c>
      <c r="C25" s="911">
        <f t="shared" si="0"/>
        <v>0.13</v>
      </c>
      <c r="D25" s="335">
        <v>3187</v>
      </c>
      <c r="E25" s="911">
        <f t="shared" si="1"/>
        <v>0.11</v>
      </c>
      <c r="F25" s="1445">
        <f t="shared" si="2"/>
        <v>7125</v>
      </c>
      <c r="G25" s="911">
        <f t="shared" si="14"/>
        <v>0.12</v>
      </c>
      <c r="H25" s="335">
        <v>2127</v>
      </c>
      <c r="I25" s="911">
        <f t="shared" si="4"/>
        <v>0.2</v>
      </c>
      <c r="J25" s="335">
        <v>1734</v>
      </c>
      <c r="K25" s="911">
        <f t="shared" si="5"/>
        <v>0.17</v>
      </c>
      <c r="L25" s="1445">
        <f t="shared" si="6"/>
        <v>3861</v>
      </c>
      <c r="M25" s="911">
        <f>ROUND(L25/L$26*100,2)</f>
        <v>0.18</v>
      </c>
      <c r="N25" s="1448">
        <f t="shared" si="8"/>
        <v>6065</v>
      </c>
      <c r="O25" s="911">
        <f t="shared" si="13"/>
        <v>0.15</v>
      </c>
      <c r="P25" s="1448">
        <f t="shared" si="9"/>
        <v>4921</v>
      </c>
      <c r="Q25" s="911">
        <f t="shared" si="10"/>
        <v>0.12</v>
      </c>
      <c r="R25" s="1445">
        <f t="shared" si="11"/>
        <v>10986</v>
      </c>
      <c r="S25" s="926">
        <f t="shared" si="15"/>
        <v>0.13</v>
      </c>
    </row>
    <row r="26" spans="1:19" s="153" customFormat="1" ht="19.5" customHeight="1">
      <c r="A26" s="1451" t="s">
        <v>1060</v>
      </c>
      <c r="B26" s="1447">
        <f t="shared" ref="B26:S26" si="16">SUM(B8:B25)</f>
        <v>3109219</v>
      </c>
      <c r="C26" s="928">
        <f t="shared" si="16"/>
        <v>100</v>
      </c>
      <c r="D26" s="1447">
        <f t="shared" si="16"/>
        <v>2964969</v>
      </c>
      <c r="E26" s="928">
        <f t="shared" si="16"/>
        <v>99.999999999999986</v>
      </c>
      <c r="F26" s="1447">
        <f t="shared" si="16"/>
        <v>6074188</v>
      </c>
      <c r="G26" s="928">
        <f t="shared" si="16"/>
        <v>99.999999999999986</v>
      </c>
      <c r="H26" s="1447">
        <f t="shared" si="16"/>
        <v>1064559</v>
      </c>
      <c r="I26" s="928">
        <f t="shared" si="16"/>
        <v>100</v>
      </c>
      <c r="J26" s="1447">
        <f t="shared" si="16"/>
        <v>1023214</v>
      </c>
      <c r="K26" s="928">
        <f t="shared" si="16"/>
        <v>100.00000000000001</v>
      </c>
      <c r="L26" s="1447">
        <f t="shared" si="16"/>
        <v>2087773</v>
      </c>
      <c r="M26" s="928">
        <f t="shared" si="16"/>
        <v>100.00000000000001</v>
      </c>
      <c r="N26" s="1447">
        <f t="shared" si="16"/>
        <v>4173778</v>
      </c>
      <c r="O26" s="928">
        <f t="shared" si="16"/>
        <v>100</v>
      </c>
      <c r="P26" s="1447">
        <f t="shared" si="16"/>
        <v>3988183</v>
      </c>
      <c r="Q26" s="928">
        <f t="shared" si="16"/>
        <v>100.00000000000001</v>
      </c>
      <c r="R26" s="1447">
        <f t="shared" si="16"/>
        <v>8161961</v>
      </c>
      <c r="S26" s="928">
        <f t="shared" si="16"/>
        <v>100.00000000000001</v>
      </c>
    </row>
    <row r="27" spans="1:19">
      <c r="J27" s="1395"/>
      <c r="S27" s="1134" t="s">
        <v>1186</v>
      </c>
    </row>
  </sheetData>
  <mergeCells count="15">
    <mergeCell ref="A2:S2"/>
    <mergeCell ref="N4:S4"/>
    <mergeCell ref="A1:S1"/>
    <mergeCell ref="A4:A6"/>
    <mergeCell ref="P5:Q5"/>
    <mergeCell ref="R5:S5"/>
    <mergeCell ref="J5:K5"/>
    <mergeCell ref="L5:M5"/>
    <mergeCell ref="N5:O5"/>
    <mergeCell ref="H4:M4"/>
    <mergeCell ref="H5:I5"/>
    <mergeCell ref="D5:E5"/>
    <mergeCell ref="F5:G5"/>
    <mergeCell ref="B4:G4"/>
    <mergeCell ref="B5:C5"/>
  </mergeCells>
  <phoneticPr fontId="0" type="noConversion"/>
  <printOptions horizontalCentered="1"/>
  <pageMargins left="0.1" right="0.1" top="0.63" bottom="0.1" header="0.5" footer="0.5"/>
  <pageSetup paperSize="9" orientation="landscape" blackAndWhite="1" r:id="rId1"/>
  <headerFooter alignWithMargins="0"/>
</worksheet>
</file>

<file path=xl/worksheets/sheet16.xml><?xml version="1.0" encoding="utf-8"?>
<worksheet xmlns="http://schemas.openxmlformats.org/spreadsheetml/2006/main" xmlns:r="http://schemas.openxmlformats.org/officeDocument/2006/relationships">
  <sheetPr codeName="Sheet15"/>
  <dimension ref="A1:G147"/>
  <sheetViews>
    <sheetView topLeftCell="A31" workbookViewId="0">
      <selection activeCell="J11" sqref="J11"/>
    </sheetView>
  </sheetViews>
  <sheetFormatPr defaultRowHeight="12.75"/>
  <cols>
    <col min="1" max="1" width="22.7109375" style="232" customWidth="1"/>
    <col min="2" max="2" width="11.140625" style="232" customWidth="1"/>
    <col min="3" max="3" width="9.5703125" style="232" customWidth="1"/>
    <col min="4" max="4" width="10.7109375" style="232" customWidth="1"/>
    <col min="5" max="5" width="9.28515625" style="232" customWidth="1"/>
    <col min="6" max="6" width="10" style="232" customWidth="1"/>
    <col min="7" max="7" width="10.28515625" style="232" customWidth="1"/>
    <col min="8" max="16384" width="9.140625" style="232"/>
  </cols>
  <sheetData>
    <row r="1" spans="1:7" ht="12.75" customHeight="1">
      <c r="A1" s="1739" t="s">
        <v>346</v>
      </c>
      <c r="B1" s="1739"/>
      <c r="C1" s="1739"/>
      <c r="D1" s="1739"/>
      <c r="E1" s="1739"/>
      <c r="F1" s="1739"/>
      <c r="G1" s="1739"/>
    </row>
    <row r="2" spans="1:7" ht="33.75" customHeight="1">
      <c r="A2" s="1766" t="str">
        <f>CONCATENATE("Distribution of Population by sex in different towns 
in the district of ",District!$A$1,", 2011")</f>
        <v>Distribution of Population by sex in different towns 
in the district of South 24-Parganas, 2011</v>
      </c>
      <c r="B2" s="1766"/>
      <c r="C2" s="1766"/>
      <c r="D2" s="1766"/>
      <c r="E2" s="1766"/>
      <c r="F2" s="1766"/>
      <c r="G2" s="1766"/>
    </row>
    <row r="3" spans="1:7" ht="11.25" customHeight="1">
      <c r="B3" s="488"/>
      <c r="C3" s="488"/>
      <c r="D3" s="488"/>
      <c r="E3" s="488"/>
      <c r="F3" s="488"/>
      <c r="G3" s="1373" t="s">
        <v>489</v>
      </c>
    </row>
    <row r="4" spans="1:7" ht="26.25" customHeight="1">
      <c r="A4" s="1737" t="s">
        <v>1679</v>
      </c>
      <c r="B4" s="1737" t="s">
        <v>1680</v>
      </c>
      <c r="C4" s="1782" t="s">
        <v>337</v>
      </c>
      <c r="D4" s="1785"/>
      <c r="E4" s="1783"/>
      <c r="F4" s="1782" t="s">
        <v>521</v>
      </c>
      <c r="G4" s="1783"/>
    </row>
    <row r="5" spans="1:7" ht="15.75" customHeight="1">
      <c r="A5" s="1738"/>
      <c r="B5" s="1738"/>
      <c r="C5" s="336" t="s">
        <v>1003</v>
      </c>
      <c r="D5" s="336" t="s">
        <v>1004</v>
      </c>
      <c r="E5" s="338" t="s">
        <v>958</v>
      </c>
      <c r="F5" s="336" t="s">
        <v>1065</v>
      </c>
      <c r="G5" s="338" t="s">
        <v>1004</v>
      </c>
    </row>
    <row r="6" spans="1:7" ht="12.75" customHeight="1">
      <c r="A6" s="199" t="s">
        <v>928</v>
      </c>
      <c r="B6" s="120" t="s">
        <v>929</v>
      </c>
      <c r="C6" s="119" t="s">
        <v>930</v>
      </c>
      <c r="D6" s="119" t="s">
        <v>931</v>
      </c>
      <c r="E6" s="120" t="s">
        <v>932</v>
      </c>
      <c r="F6" s="119" t="s">
        <v>933</v>
      </c>
      <c r="G6" s="120" t="s">
        <v>934</v>
      </c>
    </row>
    <row r="7" spans="1:7" ht="16.5" customHeight="1">
      <c r="A7" s="1465" t="s">
        <v>24</v>
      </c>
      <c r="B7" s="1421" t="s">
        <v>1682</v>
      </c>
      <c r="C7" s="1440">
        <f>SUM(C8:C46)</f>
        <v>456220</v>
      </c>
      <c r="D7" s="1440">
        <f>SUM(D8:D46)</f>
        <v>435751</v>
      </c>
      <c r="E7" s="1466">
        <f>C7+D7</f>
        <v>891971</v>
      </c>
      <c r="F7" s="1424">
        <f>ROUND(C7/E7*100,2)</f>
        <v>51.15</v>
      </c>
      <c r="G7" s="1425">
        <f>ROUND(D7/E7*100,2)</f>
        <v>48.85</v>
      </c>
    </row>
    <row r="8" spans="1:7" ht="16.5" customHeight="1">
      <c r="A8" s="1463" t="s">
        <v>1821</v>
      </c>
      <c r="B8" s="85" t="s">
        <v>1855</v>
      </c>
      <c r="C8" s="39">
        <v>12709</v>
      </c>
      <c r="D8" s="39">
        <v>12276</v>
      </c>
      <c r="E8" s="39">
        <v>24985</v>
      </c>
      <c r="F8" s="1418">
        <f t="shared" ref="F8:F140" si="0">ROUND(C8/E8*100,2)</f>
        <v>50.87</v>
      </c>
      <c r="G8" s="249">
        <f t="shared" ref="G8:G140" si="1">ROUND(D8/E8*100,2)</f>
        <v>49.13</v>
      </c>
    </row>
    <row r="9" spans="1:7" ht="16.5" customHeight="1">
      <c r="A9" s="1463" t="s">
        <v>1822</v>
      </c>
      <c r="B9" s="85" t="s">
        <v>1855</v>
      </c>
      <c r="C9" s="39">
        <v>4645</v>
      </c>
      <c r="D9" s="39">
        <v>4657</v>
      </c>
      <c r="E9" s="39">
        <v>9302</v>
      </c>
      <c r="F9" s="1418">
        <f t="shared" si="0"/>
        <v>49.94</v>
      </c>
      <c r="G9" s="249">
        <f t="shared" si="1"/>
        <v>50.06</v>
      </c>
    </row>
    <row r="10" spans="1:7" ht="16.5" customHeight="1">
      <c r="A10" s="1467" t="s">
        <v>404</v>
      </c>
      <c r="B10" s="85" t="s">
        <v>1855</v>
      </c>
      <c r="C10" s="39">
        <v>2677</v>
      </c>
      <c r="D10" s="39">
        <v>2533</v>
      </c>
      <c r="E10" s="39">
        <v>5210</v>
      </c>
      <c r="F10" s="1418">
        <f t="shared" si="0"/>
        <v>51.38</v>
      </c>
      <c r="G10" s="249">
        <f t="shared" si="1"/>
        <v>48.62</v>
      </c>
    </row>
    <row r="11" spans="1:7" ht="16.5" customHeight="1">
      <c r="A11" s="1467" t="s">
        <v>405</v>
      </c>
      <c r="B11" s="85" t="s">
        <v>1855</v>
      </c>
      <c r="C11" s="39">
        <v>3738</v>
      </c>
      <c r="D11" s="39">
        <v>3462</v>
      </c>
      <c r="E11" s="39">
        <v>7200</v>
      </c>
      <c r="F11" s="1418">
        <f t="shared" si="0"/>
        <v>51.92</v>
      </c>
      <c r="G11" s="249">
        <f t="shared" si="1"/>
        <v>48.08</v>
      </c>
    </row>
    <row r="12" spans="1:7" ht="16.5" customHeight="1">
      <c r="A12" s="1467" t="s">
        <v>422</v>
      </c>
      <c r="B12" s="85" t="s">
        <v>1855</v>
      </c>
      <c r="C12" s="39">
        <v>3242</v>
      </c>
      <c r="D12" s="39">
        <v>3030</v>
      </c>
      <c r="E12" s="39">
        <v>6272</v>
      </c>
      <c r="F12" s="1418">
        <f t="shared" si="0"/>
        <v>51.69</v>
      </c>
      <c r="G12" s="249">
        <f t="shared" si="1"/>
        <v>48.31</v>
      </c>
    </row>
    <row r="13" spans="1:7" ht="16.5" customHeight="1">
      <c r="A13" s="1467" t="s">
        <v>423</v>
      </c>
      <c r="B13" s="85" t="s">
        <v>1855</v>
      </c>
      <c r="C13" s="39">
        <v>1888</v>
      </c>
      <c r="D13" s="39">
        <v>1999</v>
      </c>
      <c r="E13" s="39">
        <v>3887</v>
      </c>
      <c r="F13" s="1418">
        <f t="shared" si="0"/>
        <v>48.57</v>
      </c>
      <c r="G13" s="249">
        <f t="shared" si="1"/>
        <v>51.43</v>
      </c>
    </row>
    <row r="14" spans="1:7" ht="16.5" customHeight="1">
      <c r="A14" s="1467" t="s">
        <v>424</v>
      </c>
      <c r="B14" s="85" t="s">
        <v>1855</v>
      </c>
      <c r="C14" s="39">
        <v>7715</v>
      </c>
      <c r="D14" s="39">
        <v>8020</v>
      </c>
      <c r="E14" s="39">
        <v>15735</v>
      </c>
      <c r="F14" s="1418">
        <f t="shared" si="0"/>
        <v>49.03</v>
      </c>
      <c r="G14" s="249">
        <f t="shared" si="1"/>
        <v>50.97</v>
      </c>
    </row>
    <row r="15" spans="1:7" ht="16.5" customHeight="1">
      <c r="A15" s="1467" t="s">
        <v>425</v>
      </c>
      <c r="B15" s="85" t="s">
        <v>1855</v>
      </c>
      <c r="C15" s="39">
        <v>3191</v>
      </c>
      <c r="D15" s="39">
        <v>3061</v>
      </c>
      <c r="E15" s="39">
        <v>6252</v>
      </c>
      <c r="F15" s="1418">
        <f t="shared" si="0"/>
        <v>51.04</v>
      </c>
      <c r="G15" s="249">
        <f t="shared" si="1"/>
        <v>48.96</v>
      </c>
    </row>
    <row r="16" spans="1:7" ht="16.5" customHeight="1">
      <c r="A16" s="1467" t="s">
        <v>1580</v>
      </c>
      <c r="B16" s="85" t="s">
        <v>1855</v>
      </c>
      <c r="C16" s="39">
        <v>3630</v>
      </c>
      <c r="D16" s="39">
        <v>3550</v>
      </c>
      <c r="E16" s="39">
        <v>7180</v>
      </c>
      <c r="F16" s="1418">
        <f t="shared" si="0"/>
        <v>50.56</v>
      </c>
      <c r="G16" s="249">
        <f t="shared" si="1"/>
        <v>49.44</v>
      </c>
    </row>
    <row r="17" spans="1:7" ht="16.5" customHeight="1">
      <c r="A17" s="1467" t="s">
        <v>1581</v>
      </c>
      <c r="B17" s="85" t="s">
        <v>1855</v>
      </c>
      <c r="C17" s="39">
        <v>3239</v>
      </c>
      <c r="D17" s="39">
        <v>3329</v>
      </c>
      <c r="E17" s="39">
        <v>6568</v>
      </c>
      <c r="F17" s="1418">
        <f t="shared" si="0"/>
        <v>49.31</v>
      </c>
      <c r="G17" s="249">
        <f t="shared" si="1"/>
        <v>50.69</v>
      </c>
    </row>
    <row r="18" spans="1:7" ht="16.5" customHeight="1">
      <c r="A18" s="1467" t="s">
        <v>1585</v>
      </c>
      <c r="B18" s="85" t="s">
        <v>1855</v>
      </c>
      <c r="C18" s="39">
        <v>2888</v>
      </c>
      <c r="D18" s="39">
        <v>2671</v>
      </c>
      <c r="E18" s="39">
        <v>5559</v>
      </c>
      <c r="F18" s="1418">
        <f t="shared" si="0"/>
        <v>51.95</v>
      </c>
      <c r="G18" s="249">
        <f t="shared" si="1"/>
        <v>48.05</v>
      </c>
    </row>
    <row r="19" spans="1:7" ht="16.5" customHeight="1">
      <c r="A19" s="1467" t="s">
        <v>1586</v>
      </c>
      <c r="B19" s="85" t="s">
        <v>1855</v>
      </c>
      <c r="C19" s="39">
        <v>2561</v>
      </c>
      <c r="D19" s="39">
        <v>2469</v>
      </c>
      <c r="E19" s="39">
        <v>5030</v>
      </c>
      <c r="F19" s="1418">
        <f t="shared" si="0"/>
        <v>50.91</v>
      </c>
      <c r="G19" s="249">
        <f t="shared" si="1"/>
        <v>49.09</v>
      </c>
    </row>
    <row r="20" spans="1:7" ht="16.5" customHeight="1">
      <c r="A20" s="1467" t="s">
        <v>1587</v>
      </c>
      <c r="B20" s="85" t="s">
        <v>1855</v>
      </c>
      <c r="C20" s="39">
        <v>5499</v>
      </c>
      <c r="D20" s="39">
        <v>5324</v>
      </c>
      <c r="E20" s="39">
        <v>10823</v>
      </c>
      <c r="F20" s="1418">
        <f t="shared" si="0"/>
        <v>50.81</v>
      </c>
      <c r="G20" s="249">
        <f t="shared" si="1"/>
        <v>49.19</v>
      </c>
    </row>
    <row r="21" spans="1:7" ht="16.5" customHeight="1">
      <c r="A21" s="1467" t="s">
        <v>1588</v>
      </c>
      <c r="B21" s="85" t="s">
        <v>1855</v>
      </c>
      <c r="C21" s="39">
        <v>8809</v>
      </c>
      <c r="D21" s="39">
        <v>8613</v>
      </c>
      <c r="E21" s="39">
        <v>17422</v>
      </c>
      <c r="F21" s="1418">
        <f t="shared" si="0"/>
        <v>50.56</v>
      </c>
      <c r="G21" s="249">
        <f t="shared" si="1"/>
        <v>49.44</v>
      </c>
    </row>
    <row r="22" spans="1:7" ht="16.5" customHeight="1">
      <c r="A22" s="1467" t="s">
        <v>1589</v>
      </c>
      <c r="B22" s="85" t="s">
        <v>1855</v>
      </c>
      <c r="C22" s="39">
        <v>3000</v>
      </c>
      <c r="D22" s="39">
        <v>2927</v>
      </c>
      <c r="E22" s="39">
        <v>5927</v>
      </c>
      <c r="F22" s="1418">
        <f t="shared" si="0"/>
        <v>50.62</v>
      </c>
      <c r="G22" s="249">
        <f t="shared" si="1"/>
        <v>49.38</v>
      </c>
    </row>
    <row r="23" spans="1:7" ht="16.5" customHeight="1">
      <c r="A23" s="1467" t="s">
        <v>1590</v>
      </c>
      <c r="B23" s="85" t="s">
        <v>1855</v>
      </c>
      <c r="C23" s="39">
        <v>3347</v>
      </c>
      <c r="D23" s="39">
        <v>3310</v>
      </c>
      <c r="E23" s="39">
        <v>6657</v>
      </c>
      <c r="F23" s="1418">
        <f t="shared" si="0"/>
        <v>50.28</v>
      </c>
      <c r="G23" s="249">
        <f t="shared" si="1"/>
        <v>49.72</v>
      </c>
    </row>
    <row r="24" spans="1:7" ht="16.5" customHeight="1">
      <c r="A24" s="1467" t="s">
        <v>1591</v>
      </c>
      <c r="B24" s="85" t="s">
        <v>1855</v>
      </c>
      <c r="C24" s="39">
        <v>2692</v>
      </c>
      <c r="D24" s="39">
        <v>2582</v>
      </c>
      <c r="E24" s="39">
        <v>5274</v>
      </c>
      <c r="F24" s="1418">
        <f t="shared" si="0"/>
        <v>51.04</v>
      </c>
      <c r="G24" s="249">
        <f t="shared" si="1"/>
        <v>48.96</v>
      </c>
    </row>
    <row r="25" spans="1:7" ht="16.5" customHeight="1">
      <c r="A25" s="1467" t="s">
        <v>1592</v>
      </c>
      <c r="B25" s="85" t="s">
        <v>1855</v>
      </c>
      <c r="C25" s="39">
        <v>2896</v>
      </c>
      <c r="D25" s="39">
        <v>2760</v>
      </c>
      <c r="E25" s="39">
        <v>5656</v>
      </c>
      <c r="F25" s="1418">
        <f t="shared" si="0"/>
        <v>51.2</v>
      </c>
      <c r="G25" s="249">
        <f t="shared" si="1"/>
        <v>48.8</v>
      </c>
    </row>
    <row r="26" spans="1:7" ht="16.5" customHeight="1">
      <c r="A26" s="1467" t="s">
        <v>1593</v>
      </c>
      <c r="B26" s="85" t="s">
        <v>1855</v>
      </c>
      <c r="C26" s="39">
        <v>2322</v>
      </c>
      <c r="D26" s="39">
        <v>2328</v>
      </c>
      <c r="E26" s="39">
        <v>4650</v>
      </c>
      <c r="F26" s="1418">
        <f t="shared" si="0"/>
        <v>49.94</v>
      </c>
      <c r="G26" s="249">
        <f t="shared" si="1"/>
        <v>50.06</v>
      </c>
    </row>
    <row r="27" spans="1:7" ht="16.5" customHeight="1">
      <c r="A27" s="1467" t="s">
        <v>1594</v>
      </c>
      <c r="B27" s="85" t="s">
        <v>1855</v>
      </c>
      <c r="C27" s="39">
        <v>2459</v>
      </c>
      <c r="D27" s="39">
        <v>2239</v>
      </c>
      <c r="E27" s="39">
        <v>4698</v>
      </c>
      <c r="F27" s="1418">
        <f t="shared" si="0"/>
        <v>52.34</v>
      </c>
      <c r="G27" s="249">
        <f t="shared" si="1"/>
        <v>47.66</v>
      </c>
    </row>
    <row r="28" spans="1:7" ht="16.5" customHeight="1">
      <c r="A28" s="1467" t="s">
        <v>1595</v>
      </c>
      <c r="B28" s="85" t="s">
        <v>1855</v>
      </c>
      <c r="C28" s="39">
        <v>3013</v>
      </c>
      <c r="D28" s="39">
        <v>2958</v>
      </c>
      <c r="E28" s="39">
        <v>5971</v>
      </c>
      <c r="F28" s="1418">
        <f t="shared" si="0"/>
        <v>50.46</v>
      </c>
      <c r="G28" s="249">
        <f t="shared" si="1"/>
        <v>49.54</v>
      </c>
    </row>
    <row r="29" spans="1:7" ht="16.5" customHeight="1">
      <c r="A29" s="1467" t="s">
        <v>1596</v>
      </c>
      <c r="B29" s="85" t="s">
        <v>1855</v>
      </c>
      <c r="C29" s="39">
        <v>4416</v>
      </c>
      <c r="D29" s="39">
        <v>4349</v>
      </c>
      <c r="E29" s="39">
        <v>8765</v>
      </c>
      <c r="F29" s="1418">
        <f t="shared" si="0"/>
        <v>50.38</v>
      </c>
      <c r="G29" s="249">
        <f t="shared" si="1"/>
        <v>49.62</v>
      </c>
    </row>
    <row r="30" spans="1:7" ht="16.5" customHeight="1">
      <c r="A30" s="1467" t="s">
        <v>1597</v>
      </c>
      <c r="B30" s="85" t="s">
        <v>1855</v>
      </c>
      <c r="C30" s="39">
        <v>1935</v>
      </c>
      <c r="D30" s="39">
        <v>1843</v>
      </c>
      <c r="E30" s="39">
        <v>3778</v>
      </c>
      <c r="F30" s="1418">
        <f t="shared" si="0"/>
        <v>51.22</v>
      </c>
      <c r="G30" s="249">
        <f t="shared" si="1"/>
        <v>48.78</v>
      </c>
    </row>
    <row r="31" spans="1:7" ht="16.5" customHeight="1">
      <c r="A31" s="1467" t="s">
        <v>1598</v>
      </c>
      <c r="B31" s="85" t="s">
        <v>1855</v>
      </c>
      <c r="C31" s="39">
        <v>3491</v>
      </c>
      <c r="D31" s="39">
        <v>3263</v>
      </c>
      <c r="E31" s="39">
        <v>6754</v>
      </c>
      <c r="F31" s="1418">
        <f t="shared" si="0"/>
        <v>51.69</v>
      </c>
      <c r="G31" s="249">
        <f t="shared" si="1"/>
        <v>48.31</v>
      </c>
    </row>
    <row r="32" spans="1:7" ht="16.5" customHeight="1">
      <c r="A32" s="1467" t="s">
        <v>1599</v>
      </c>
      <c r="B32" s="85" t="s">
        <v>1855</v>
      </c>
      <c r="C32" s="39">
        <v>11762</v>
      </c>
      <c r="D32" s="39">
        <v>11322</v>
      </c>
      <c r="E32" s="39">
        <v>23084</v>
      </c>
      <c r="F32" s="1418">
        <f t="shared" si="0"/>
        <v>50.95</v>
      </c>
      <c r="G32" s="249">
        <f t="shared" si="1"/>
        <v>49.05</v>
      </c>
    </row>
    <row r="33" spans="1:7" ht="16.5" customHeight="1">
      <c r="A33" s="1467" t="s">
        <v>1600</v>
      </c>
      <c r="B33" s="85" t="s">
        <v>1855</v>
      </c>
      <c r="C33" s="39">
        <v>2689</v>
      </c>
      <c r="D33" s="39">
        <v>2562</v>
      </c>
      <c r="E33" s="39">
        <v>5251</v>
      </c>
      <c r="F33" s="1418">
        <f t="shared" si="0"/>
        <v>51.21</v>
      </c>
      <c r="G33" s="249">
        <f t="shared" si="1"/>
        <v>48.79</v>
      </c>
    </row>
    <row r="34" spans="1:7" ht="16.5" customHeight="1">
      <c r="A34" s="1467" t="s">
        <v>1601</v>
      </c>
      <c r="B34" s="85" t="s">
        <v>1855</v>
      </c>
      <c r="C34" s="39">
        <v>8486</v>
      </c>
      <c r="D34" s="39">
        <v>8278</v>
      </c>
      <c r="E34" s="39">
        <v>16764</v>
      </c>
      <c r="F34" s="1418">
        <f t="shared" si="0"/>
        <v>50.62</v>
      </c>
      <c r="G34" s="249">
        <f t="shared" si="1"/>
        <v>49.38</v>
      </c>
    </row>
    <row r="35" spans="1:7" ht="16.5" customHeight="1">
      <c r="A35" s="1467" t="s">
        <v>981</v>
      </c>
      <c r="B35" s="85" t="s">
        <v>1855</v>
      </c>
      <c r="C35" s="39">
        <v>2609</v>
      </c>
      <c r="D35" s="39">
        <v>2578</v>
      </c>
      <c r="E35" s="39">
        <v>5187</v>
      </c>
      <c r="F35" s="1418">
        <f t="shared" si="0"/>
        <v>50.3</v>
      </c>
      <c r="G35" s="249">
        <f t="shared" si="1"/>
        <v>49.7</v>
      </c>
    </row>
    <row r="36" spans="1:7" ht="16.5" customHeight="1">
      <c r="A36" s="1467" t="s">
        <v>1602</v>
      </c>
      <c r="B36" s="85" t="s">
        <v>1855</v>
      </c>
      <c r="C36" s="39">
        <v>2303</v>
      </c>
      <c r="D36" s="39">
        <v>2315</v>
      </c>
      <c r="E36" s="39">
        <v>4618</v>
      </c>
      <c r="F36" s="1418">
        <f t="shared" si="0"/>
        <v>49.87</v>
      </c>
      <c r="G36" s="249">
        <f t="shared" si="1"/>
        <v>50.13</v>
      </c>
    </row>
    <row r="37" spans="1:7" ht="16.5" customHeight="1">
      <c r="A37" s="1467" t="s">
        <v>1603</v>
      </c>
      <c r="B37" s="85" t="s">
        <v>1855</v>
      </c>
      <c r="C37" s="39">
        <v>3231</v>
      </c>
      <c r="D37" s="39">
        <v>3122</v>
      </c>
      <c r="E37" s="39">
        <v>6353</v>
      </c>
      <c r="F37" s="1418">
        <f t="shared" si="0"/>
        <v>50.86</v>
      </c>
      <c r="G37" s="249">
        <f t="shared" si="1"/>
        <v>49.14</v>
      </c>
    </row>
    <row r="38" spans="1:7" ht="16.5" customHeight="1">
      <c r="A38" s="1467" t="s">
        <v>1604</v>
      </c>
      <c r="B38" s="85" t="s">
        <v>1855</v>
      </c>
      <c r="C38" s="39">
        <v>11542</v>
      </c>
      <c r="D38" s="39">
        <v>10536</v>
      </c>
      <c r="E38" s="39">
        <v>22078</v>
      </c>
      <c r="F38" s="1418">
        <f t="shared" si="0"/>
        <v>52.28</v>
      </c>
      <c r="G38" s="249">
        <f t="shared" si="1"/>
        <v>47.72</v>
      </c>
    </row>
    <row r="39" spans="1:7" ht="16.5" customHeight="1">
      <c r="A39" s="1467" t="s">
        <v>1605</v>
      </c>
      <c r="B39" s="85" t="s">
        <v>1855</v>
      </c>
      <c r="C39" s="39">
        <v>6373</v>
      </c>
      <c r="D39" s="39">
        <v>5662</v>
      </c>
      <c r="E39" s="39">
        <v>12035</v>
      </c>
      <c r="F39" s="1418">
        <f t="shared" si="0"/>
        <v>52.95</v>
      </c>
      <c r="G39" s="249">
        <f t="shared" si="1"/>
        <v>47.05</v>
      </c>
    </row>
    <row r="40" spans="1:7" ht="16.5" customHeight="1">
      <c r="A40" s="1467" t="s">
        <v>1606</v>
      </c>
      <c r="B40" s="85" t="s">
        <v>1855</v>
      </c>
      <c r="C40" s="39">
        <v>5662</v>
      </c>
      <c r="D40" s="39">
        <v>5482</v>
      </c>
      <c r="E40" s="39">
        <v>11144</v>
      </c>
      <c r="F40" s="1418">
        <f t="shared" si="0"/>
        <v>50.81</v>
      </c>
      <c r="G40" s="249">
        <f t="shared" si="1"/>
        <v>49.19</v>
      </c>
    </row>
    <row r="41" spans="1:7" ht="16.5" customHeight="1">
      <c r="A41" s="1467" t="s">
        <v>1607</v>
      </c>
      <c r="B41" s="85" t="s">
        <v>1855</v>
      </c>
      <c r="C41" s="39">
        <v>5709</v>
      </c>
      <c r="D41" s="39">
        <v>5259</v>
      </c>
      <c r="E41" s="39">
        <v>10968</v>
      </c>
      <c r="F41" s="1418">
        <f t="shared" si="0"/>
        <v>52.05</v>
      </c>
      <c r="G41" s="249">
        <f t="shared" si="1"/>
        <v>47.95</v>
      </c>
    </row>
    <row r="42" spans="1:7" ht="16.5" customHeight="1">
      <c r="A42" s="1472" t="s">
        <v>1608</v>
      </c>
      <c r="B42" s="89" t="s">
        <v>1855</v>
      </c>
      <c r="C42" s="39">
        <v>7245</v>
      </c>
      <c r="D42" s="39">
        <v>6831</v>
      </c>
      <c r="E42" s="82">
        <v>14076</v>
      </c>
      <c r="F42" s="321">
        <f>ROUND(C42/E42*100,2)</f>
        <v>51.47</v>
      </c>
      <c r="G42" s="249">
        <f>ROUND(D42/E42*100,2)</f>
        <v>48.53</v>
      </c>
    </row>
    <row r="43" spans="1:7" ht="16.5" customHeight="1">
      <c r="A43" s="1467" t="s">
        <v>1609</v>
      </c>
      <c r="B43" s="85" t="s">
        <v>1855</v>
      </c>
      <c r="C43" s="39">
        <v>4464</v>
      </c>
      <c r="D43" s="39">
        <v>4193</v>
      </c>
      <c r="E43" s="39">
        <v>8657</v>
      </c>
      <c r="F43" s="1418">
        <f>ROUND(C43/E43*100,2)</f>
        <v>51.57</v>
      </c>
      <c r="G43" s="249">
        <f>ROUND(D43/E43*100,2)</f>
        <v>48.43</v>
      </c>
    </row>
    <row r="44" spans="1:7" ht="16.5" customHeight="1">
      <c r="A44" s="1463" t="s">
        <v>1851</v>
      </c>
      <c r="B44" s="85" t="s">
        <v>0</v>
      </c>
      <c r="C44" s="39">
        <v>39510</v>
      </c>
      <c r="D44" s="39">
        <v>37327</v>
      </c>
      <c r="E44" s="39">
        <v>76837</v>
      </c>
      <c r="F44" s="1418">
        <f>ROUND(C44/E44*100,2)</f>
        <v>51.42</v>
      </c>
      <c r="G44" s="249">
        <f>ROUND(D44/E44*100,2)</f>
        <v>48.58</v>
      </c>
    </row>
    <row r="45" spans="1:7" ht="16.5" customHeight="1">
      <c r="A45" s="1463" t="s">
        <v>1210</v>
      </c>
      <c r="B45" s="85" t="s">
        <v>0</v>
      </c>
      <c r="C45" s="39">
        <v>229693</v>
      </c>
      <c r="D45" s="39">
        <v>218624</v>
      </c>
      <c r="E45" s="39">
        <v>448317</v>
      </c>
      <c r="F45" s="1418">
        <f>ROUND(C45/E45*100,2)</f>
        <v>51.23</v>
      </c>
      <c r="G45" s="249">
        <f>ROUND(D45/E45*100,2)</f>
        <v>48.77</v>
      </c>
    </row>
    <row r="46" spans="1:7" ht="16.5" customHeight="1">
      <c r="A46" s="1464" t="s">
        <v>1852</v>
      </c>
      <c r="B46" s="302" t="s">
        <v>0</v>
      </c>
      <c r="C46" s="25">
        <v>18940</v>
      </c>
      <c r="D46" s="25">
        <v>18107</v>
      </c>
      <c r="E46" s="25">
        <v>37047</v>
      </c>
      <c r="F46" s="1417">
        <f>ROUND(C46/E46*100,2)</f>
        <v>51.12</v>
      </c>
      <c r="G46" s="259">
        <f>ROUND(D46/E46*100,2)</f>
        <v>48.88</v>
      </c>
    </row>
    <row r="47" spans="1:7" ht="12.75" customHeight="1">
      <c r="A47" s="950"/>
      <c r="B47" s="79"/>
      <c r="C47" s="39"/>
      <c r="D47" s="39"/>
      <c r="E47" s="39"/>
      <c r="F47" s="321"/>
      <c r="G47" s="1470" t="s">
        <v>678</v>
      </c>
    </row>
    <row r="48" spans="1:7" ht="13.5" customHeight="1">
      <c r="A48" s="1739" t="s">
        <v>684</v>
      </c>
      <c r="B48" s="1739"/>
      <c r="C48" s="1739"/>
      <c r="D48" s="1739"/>
      <c r="E48" s="1739"/>
      <c r="F48" s="1739"/>
      <c r="G48" s="1739"/>
    </row>
    <row r="49" spans="1:7">
      <c r="B49" s="488"/>
      <c r="C49" s="488"/>
      <c r="D49" s="488"/>
      <c r="E49" s="488"/>
      <c r="F49" s="488"/>
      <c r="G49" s="1373" t="s">
        <v>489</v>
      </c>
    </row>
    <row r="50" spans="1:7" ht="30" customHeight="1">
      <c r="A50" s="1737" t="s">
        <v>1679</v>
      </c>
      <c r="B50" s="1737" t="s">
        <v>1680</v>
      </c>
      <c r="C50" s="1782" t="s">
        <v>337</v>
      </c>
      <c r="D50" s="1785"/>
      <c r="E50" s="1783"/>
      <c r="F50" s="1782" t="s">
        <v>521</v>
      </c>
      <c r="G50" s="1783"/>
    </row>
    <row r="51" spans="1:7" ht="15.75" customHeight="1">
      <c r="A51" s="1738"/>
      <c r="B51" s="1738"/>
      <c r="C51" s="336" t="s">
        <v>1003</v>
      </c>
      <c r="D51" s="336" t="s">
        <v>1004</v>
      </c>
      <c r="E51" s="338" t="s">
        <v>958</v>
      </c>
      <c r="F51" s="336" t="s">
        <v>1065</v>
      </c>
      <c r="G51" s="338" t="s">
        <v>1004</v>
      </c>
    </row>
    <row r="52" spans="1:7" ht="14.25" customHeight="1">
      <c r="A52" s="199" t="s">
        <v>928</v>
      </c>
      <c r="B52" s="120" t="s">
        <v>929</v>
      </c>
      <c r="C52" s="119" t="s">
        <v>930</v>
      </c>
      <c r="D52" s="119" t="s">
        <v>931</v>
      </c>
      <c r="E52" s="120" t="s">
        <v>932</v>
      </c>
      <c r="F52" s="119" t="s">
        <v>933</v>
      </c>
      <c r="G52" s="120" t="s">
        <v>934</v>
      </c>
    </row>
    <row r="53" spans="1:7" ht="15" customHeight="1">
      <c r="A53" s="1419" t="s">
        <v>314</v>
      </c>
      <c r="B53" s="1428" t="s">
        <v>1683</v>
      </c>
      <c r="C53" s="1423">
        <f>SUM(C54:C86)</f>
        <v>377831</v>
      </c>
      <c r="D53" s="1423">
        <f>SUM(D54:D86)</f>
        <v>366393</v>
      </c>
      <c r="E53" s="1423">
        <f>SUM(C53:D53)</f>
        <v>744224</v>
      </c>
      <c r="F53" s="1426">
        <f>ROUND(C53/E53*100,2)</f>
        <v>50.77</v>
      </c>
      <c r="G53" s="355">
        <f>ROUND(D53/E53*100,2)</f>
        <v>49.23</v>
      </c>
    </row>
    <row r="54" spans="1:7" ht="15" customHeight="1">
      <c r="A54" s="1467" t="s">
        <v>1610</v>
      </c>
      <c r="B54" s="85" t="s">
        <v>1855</v>
      </c>
      <c r="C54" s="39">
        <v>3375</v>
      </c>
      <c r="D54" s="39">
        <v>3300</v>
      </c>
      <c r="E54" s="39">
        <v>6675</v>
      </c>
      <c r="F54" s="1418">
        <f t="shared" ref="F54:F83" si="2">ROUND(C54/E54*100,2)</f>
        <v>50.56</v>
      </c>
      <c r="G54" s="249">
        <f t="shared" ref="G54:G83" si="3">ROUND(D54/E54*100,2)</f>
        <v>49.44</v>
      </c>
    </row>
    <row r="55" spans="1:7" ht="15" customHeight="1">
      <c r="A55" s="1467" t="s">
        <v>1611</v>
      </c>
      <c r="B55" s="85" t="s">
        <v>1855</v>
      </c>
      <c r="C55" s="39">
        <v>3503</v>
      </c>
      <c r="D55" s="39">
        <v>3263</v>
      </c>
      <c r="E55" s="39">
        <v>6766</v>
      </c>
      <c r="F55" s="1418">
        <f t="shared" si="2"/>
        <v>51.77</v>
      </c>
      <c r="G55" s="249">
        <f t="shared" si="3"/>
        <v>48.23</v>
      </c>
    </row>
    <row r="56" spans="1:7" ht="15" customHeight="1">
      <c r="A56" s="1467" t="s">
        <v>425</v>
      </c>
      <c r="B56" s="85" t="s">
        <v>1855</v>
      </c>
      <c r="C56" s="39">
        <v>4188</v>
      </c>
      <c r="D56" s="39">
        <v>4008</v>
      </c>
      <c r="E56" s="39">
        <v>8196</v>
      </c>
      <c r="F56" s="1418">
        <f t="shared" si="2"/>
        <v>51.1</v>
      </c>
      <c r="G56" s="249">
        <f t="shared" si="3"/>
        <v>48.9</v>
      </c>
    </row>
    <row r="57" spans="1:7" ht="15" customHeight="1">
      <c r="A57" s="1467" t="s">
        <v>1612</v>
      </c>
      <c r="B57" s="85" t="s">
        <v>1855</v>
      </c>
      <c r="C57" s="39">
        <v>2327</v>
      </c>
      <c r="D57" s="39">
        <v>2303</v>
      </c>
      <c r="E57" s="39">
        <v>4630</v>
      </c>
      <c r="F57" s="1418">
        <f t="shared" si="2"/>
        <v>50.26</v>
      </c>
      <c r="G57" s="249">
        <f t="shared" si="3"/>
        <v>49.74</v>
      </c>
    </row>
    <row r="58" spans="1:7" ht="15" customHeight="1">
      <c r="A58" s="1467" t="s">
        <v>1613</v>
      </c>
      <c r="B58" s="85" t="s">
        <v>1855</v>
      </c>
      <c r="C58" s="39">
        <v>2977</v>
      </c>
      <c r="D58" s="39">
        <v>2883</v>
      </c>
      <c r="E58" s="39">
        <v>5860</v>
      </c>
      <c r="F58" s="1418">
        <f t="shared" si="2"/>
        <v>50.8</v>
      </c>
      <c r="G58" s="249">
        <f t="shared" si="3"/>
        <v>49.2</v>
      </c>
    </row>
    <row r="59" spans="1:7" ht="15" customHeight="1">
      <c r="A59" s="1467" t="s">
        <v>1614</v>
      </c>
      <c r="B59" s="85" t="s">
        <v>1855</v>
      </c>
      <c r="C59" s="39">
        <v>2520</v>
      </c>
      <c r="D59" s="39">
        <v>2394</v>
      </c>
      <c r="E59" s="39">
        <v>4914</v>
      </c>
      <c r="F59" s="1418">
        <f t="shared" si="2"/>
        <v>51.28</v>
      </c>
      <c r="G59" s="249">
        <f t="shared" si="3"/>
        <v>48.72</v>
      </c>
    </row>
    <row r="60" spans="1:7" ht="15" customHeight="1">
      <c r="A60" s="1467" t="s">
        <v>1615</v>
      </c>
      <c r="B60" s="85" t="s">
        <v>1855</v>
      </c>
      <c r="C60" s="39">
        <v>3642</v>
      </c>
      <c r="D60" s="39">
        <v>3467</v>
      </c>
      <c r="E60" s="39">
        <v>7109</v>
      </c>
      <c r="F60" s="1418">
        <f t="shared" si="2"/>
        <v>51.23</v>
      </c>
      <c r="G60" s="249">
        <f t="shared" si="3"/>
        <v>48.77</v>
      </c>
    </row>
    <row r="61" spans="1:7" ht="15" customHeight="1">
      <c r="A61" s="1467" t="s">
        <v>1616</v>
      </c>
      <c r="B61" s="85" t="s">
        <v>1855</v>
      </c>
      <c r="C61" s="39">
        <v>2811</v>
      </c>
      <c r="D61" s="39">
        <v>2782</v>
      </c>
      <c r="E61" s="39">
        <v>5593</v>
      </c>
      <c r="F61" s="1418">
        <f t="shared" si="2"/>
        <v>50.26</v>
      </c>
      <c r="G61" s="249">
        <f t="shared" si="3"/>
        <v>49.74</v>
      </c>
    </row>
    <row r="62" spans="1:7" ht="15" customHeight="1">
      <c r="A62" s="1467" t="s">
        <v>1617</v>
      </c>
      <c r="B62" s="85" t="s">
        <v>1855</v>
      </c>
      <c r="C62" s="39">
        <v>3103</v>
      </c>
      <c r="D62" s="39">
        <v>3001</v>
      </c>
      <c r="E62" s="39">
        <v>6104</v>
      </c>
      <c r="F62" s="1418">
        <f t="shared" si="2"/>
        <v>50.84</v>
      </c>
      <c r="G62" s="249">
        <f t="shared" si="3"/>
        <v>49.16</v>
      </c>
    </row>
    <row r="63" spans="1:7" ht="15" customHeight="1">
      <c r="A63" s="1467" t="s">
        <v>1618</v>
      </c>
      <c r="B63" s="85" t="s">
        <v>1855</v>
      </c>
      <c r="C63" s="39">
        <v>8319</v>
      </c>
      <c r="D63" s="39">
        <v>7836</v>
      </c>
      <c r="E63" s="39">
        <v>16155</v>
      </c>
      <c r="F63" s="1418">
        <f t="shared" si="2"/>
        <v>51.49</v>
      </c>
      <c r="G63" s="249">
        <f t="shared" si="3"/>
        <v>48.51</v>
      </c>
    </row>
    <row r="64" spans="1:7" ht="15" customHeight="1">
      <c r="A64" s="1467" t="s">
        <v>1619</v>
      </c>
      <c r="B64" s="85" t="s">
        <v>1855</v>
      </c>
      <c r="C64" s="39">
        <v>3491</v>
      </c>
      <c r="D64" s="39">
        <v>3319</v>
      </c>
      <c r="E64" s="39">
        <v>6810</v>
      </c>
      <c r="F64" s="1418">
        <f t="shared" si="2"/>
        <v>51.26</v>
      </c>
      <c r="G64" s="249">
        <f t="shared" si="3"/>
        <v>48.74</v>
      </c>
    </row>
    <row r="65" spans="1:7" ht="15" customHeight="1">
      <c r="A65" s="1467" t="s">
        <v>1620</v>
      </c>
      <c r="B65" s="85" t="s">
        <v>1855</v>
      </c>
      <c r="C65" s="39">
        <v>2938</v>
      </c>
      <c r="D65" s="39">
        <v>2999</v>
      </c>
      <c r="E65" s="39">
        <v>5937</v>
      </c>
      <c r="F65" s="1418">
        <f t="shared" si="2"/>
        <v>49.49</v>
      </c>
      <c r="G65" s="249">
        <f t="shared" si="3"/>
        <v>50.51</v>
      </c>
    </row>
    <row r="66" spans="1:7" ht="15" customHeight="1">
      <c r="A66" s="1467" t="s">
        <v>1621</v>
      </c>
      <c r="B66" s="85" t="s">
        <v>1855</v>
      </c>
      <c r="C66" s="39">
        <v>2937</v>
      </c>
      <c r="D66" s="39">
        <v>2786</v>
      </c>
      <c r="E66" s="39">
        <v>5723</v>
      </c>
      <c r="F66" s="1418">
        <f t="shared" si="2"/>
        <v>51.32</v>
      </c>
      <c r="G66" s="249">
        <f t="shared" si="3"/>
        <v>48.68</v>
      </c>
    </row>
    <row r="67" spans="1:7" ht="15" customHeight="1">
      <c r="A67" s="1467" t="s">
        <v>1622</v>
      </c>
      <c r="B67" s="85" t="s">
        <v>1855</v>
      </c>
      <c r="C67" s="39">
        <v>4069</v>
      </c>
      <c r="D67" s="39">
        <v>3945</v>
      </c>
      <c r="E67" s="39">
        <v>8014</v>
      </c>
      <c r="F67" s="1418">
        <f t="shared" si="2"/>
        <v>50.77</v>
      </c>
      <c r="G67" s="249">
        <f t="shared" si="3"/>
        <v>49.23</v>
      </c>
    </row>
    <row r="68" spans="1:7" ht="15" customHeight="1">
      <c r="A68" s="1467" t="s">
        <v>1623</v>
      </c>
      <c r="B68" s="85" t="s">
        <v>1855</v>
      </c>
      <c r="C68" s="39">
        <v>2244</v>
      </c>
      <c r="D68" s="39">
        <v>2122</v>
      </c>
      <c r="E68" s="39">
        <v>4366</v>
      </c>
      <c r="F68" s="1418">
        <f t="shared" si="2"/>
        <v>51.4</v>
      </c>
      <c r="G68" s="249">
        <f t="shared" si="3"/>
        <v>48.6</v>
      </c>
    </row>
    <row r="69" spans="1:7" ht="15" customHeight="1">
      <c r="A69" s="1467" t="s">
        <v>1624</v>
      </c>
      <c r="B69" s="85" t="s">
        <v>1855</v>
      </c>
      <c r="C69" s="39">
        <v>4896</v>
      </c>
      <c r="D69" s="39">
        <v>4700</v>
      </c>
      <c r="E69" s="39">
        <v>9596</v>
      </c>
      <c r="F69" s="1418">
        <f t="shared" si="2"/>
        <v>51.02</v>
      </c>
      <c r="G69" s="249">
        <f t="shared" si="3"/>
        <v>48.98</v>
      </c>
    </row>
    <row r="70" spans="1:7" ht="15" customHeight="1">
      <c r="A70" s="1467" t="s">
        <v>1625</v>
      </c>
      <c r="B70" s="85" t="s">
        <v>1855</v>
      </c>
      <c r="C70" s="39">
        <v>2410</v>
      </c>
      <c r="D70" s="39">
        <v>2395</v>
      </c>
      <c r="E70" s="39">
        <v>4805</v>
      </c>
      <c r="F70" s="1418">
        <f t="shared" si="2"/>
        <v>50.16</v>
      </c>
      <c r="G70" s="249">
        <f t="shared" si="3"/>
        <v>49.84</v>
      </c>
    </row>
    <row r="71" spans="1:7" ht="15" customHeight="1">
      <c r="A71" s="1467" t="s">
        <v>1626</v>
      </c>
      <c r="B71" s="85" t="s">
        <v>1855</v>
      </c>
      <c r="C71" s="39">
        <v>3230</v>
      </c>
      <c r="D71" s="39">
        <v>3110</v>
      </c>
      <c r="E71" s="39">
        <v>6340</v>
      </c>
      <c r="F71" s="1418">
        <f t="shared" si="2"/>
        <v>50.95</v>
      </c>
      <c r="G71" s="249">
        <f t="shared" si="3"/>
        <v>49.05</v>
      </c>
    </row>
    <row r="72" spans="1:7" ht="15" customHeight="1">
      <c r="A72" s="1467" t="s">
        <v>1627</v>
      </c>
      <c r="B72" s="85" t="s">
        <v>1855</v>
      </c>
      <c r="C72" s="39">
        <v>9754</v>
      </c>
      <c r="D72" s="39">
        <v>9366</v>
      </c>
      <c r="E72" s="39">
        <v>19120</v>
      </c>
      <c r="F72" s="1418">
        <f t="shared" si="2"/>
        <v>51.01</v>
      </c>
      <c r="G72" s="249">
        <f t="shared" si="3"/>
        <v>48.99</v>
      </c>
    </row>
    <row r="73" spans="1:7" ht="15" customHeight="1">
      <c r="A73" s="1467" t="s">
        <v>1628</v>
      </c>
      <c r="B73" s="85" t="s">
        <v>1855</v>
      </c>
      <c r="C73" s="39">
        <v>6038</v>
      </c>
      <c r="D73" s="39">
        <v>5989</v>
      </c>
      <c r="E73" s="39">
        <v>12027</v>
      </c>
      <c r="F73" s="1418">
        <f t="shared" si="2"/>
        <v>50.2</v>
      </c>
      <c r="G73" s="249">
        <f t="shared" si="3"/>
        <v>49.8</v>
      </c>
    </row>
    <row r="74" spans="1:7" ht="15" customHeight="1">
      <c r="A74" s="1467" t="s">
        <v>1629</v>
      </c>
      <c r="B74" s="85" t="s">
        <v>1855</v>
      </c>
      <c r="C74" s="39">
        <v>6052</v>
      </c>
      <c r="D74" s="39">
        <v>6059</v>
      </c>
      <c r="E74" s="39">
        <v>12111</v>
      </c>
      <c r="F74" s="1418">
        <f t="shared" si="2"/>
        <v>49.97</v>
      </c>
      <c r="G74" s="249">
        <f t="shared" si="3"/>
        <v>50.03</v>
      </c>
    </row>
    <row r="75" spans="1:7" ht="15" customHeight="1">
      <c r="A75" s="1467" t="s">
        <v>1630</v>
      </c>
      <c r="B75" s="85" t="s">
        <v>1855</v>
      </c>
      <c r="C75" s="39">
        <v>4724</v>
      </c>
      <c r="D75" s="39">
        <v>4649</v>
      </c>
      <c r="E75" s="39">
        <v>9373</v>
      </c>
      <c r="F75" s="1418">
        <f t="shared" si="2"/>
        <v>50.4</v>
      </c>
      <c r="G75" s="249">
        <f t="shared" si="3"/>
        <v>49.6</v>
      </c>
    </row>
    <row r="76" spans="1:7" ht="15" customHeight="1">
      <c r="A76" s="1467" t="s">
        <v>1631</v>
      </c>
      <c r="B76" s="85" t="s">
        <v>1855</v>
      </c>
      <c r="C76" s="39">
        <v>2151</v>
      </c>
      <c r="D76" s="39">
        <v>2126</v>
      </c>
      <c r="E76" s="39">
        <v>4277</v>
      </c>
      <c r="F76" s="1418">
        <f t="shared" si="2"/>
        <v>50.29</v>
      </c>
      <c r="G76" s="249">
        <f t="shared" si="3"/>
        <v>49.71</v>
      </c>
    </row>
    <row r="77" spans="1:7" ht="15" customHeight="1">
      <c r="A77" s="1467" t="s">
        <v>301</v>
      </c>
      <c r="B77" s="85" t="s">
        <v>1855</v>
      </c>
      <c r="C77" s="39">
        <v>11396</v>
      </c>
      <c r="D77" s="39">
        <v>11034</v>
      </c>
      <c r="E77" s="39">
        <v>22430</v>
      </c>
      <c r="F77" s="1418">
        <f t="shared" si="2"/>
        <v>50.81</v>
      </c>
      <c r="G77" s="249">
        <f t="shared" si="3"/>
        <v>49.19</v>
      </c>
    </row>
    <row r="78" spans="1:7" ht="15" customHeight="1">
      <c r="A78" s="1467" t="s">
        <v>302</v>
      </c>
      <c r="B78" s="85" t="s">
        <v>1855</v>
      </c>
      <c r="C78" s="39">
        <v>2594</v>
      </c>
      <c r="D78" s="39">
        <v>2497</v>
      </c>
      <c r="E78" s="39">
        <v>5091</v>
      </c>
      <c r="F78" s="1418">
        <f t="shared" si="2"/>
        <v>50.95</v>
      </c>
      <c r="G78" s="249">
        <f t="shared" si="3"/>
        <v>49.05</v>
      </c>
    </row>
    <row r="79" spans="1:7" ht="15" customHeight="1">
      <c r="A79" s="1467" t="s">
        <v>1632</v>
      </c>
      <c r="B79" s="85" t="s">
        <v>1855</v>
      </c>
      <c r="C79" s="39">
        <v>3325</v>
      </c>
      <c r="D79" s="39">
        <v>3035</v>
      </c>
      <c r="E79" s="39">
        <v>6360</v>
      </c>
      <c r="F79" s="1418">
        <f t="shared" si="2"/>
        <v>52.28</v>
      </c>
      <c r="G79" s="249">
        <f t="shared" si="3"/>
        <v>47.72</v>
      </c>
    </row>
    <row r="80" spans="1:7" ht="15" customHeight="1">
      <c r="A80" s="1467" t="s">
        <v>1633</v>
      </c>
      <c r="B80" s="85" t="s">
        <v>1855</v>
      </c>
      <c r="C80" s="39">
        <v>2987</v>
      </c>
      <c r="D80" s="39">
        <v>2795</v>
      </c>
      <c r="E80" s="39">
        <v>5782</v>
      </c>
      <c r="F80" s="1418">
        <f t="shared" si="2"/>
        <v>51.66</v>
      </c>
      <c r="G80" s="249">
        <f t="shared" si="3"/>
        <v>48.34</v>
      </c>
    </row>
    <row r="81" spans="1:7" ht="15" customHeight="1">
      <c r="A81" s="1467" t="s">
        <v>1634</v>
      </c>
      <c r="B81" s="85" t="s">
        <v>1855</v>
      </c>
      <c r="C81" s="39">
        <v>2456</v>
      </c>
      <c r="D81" s="39">
        <v>2386</v>
      </c>
      <c r="E81" s="39">
        <v>4842</v>
      </c>
      <c r="F81" s="1418">
        <f t="shared" si="2"/>
        <v>50.72</v>
      </c>
      <c r="G81" s="249">
        <f t="shared" si="3"/>
        <v>49.28</v>
      </c>
    </row>
    <row r="82" spans="1:7" ht="15" customHeight="1">
      <c r="A82" s="1467" t="s">
        <v>426</v>
      </c>
      <c r="B82" s="85" t="s">
        <v>1855</v>
      </c>
      <c r="C82" s="39">
        <v>3025</v>
      </c>
      <c r="D82" s="39">
        <v>3012</v>
      </c>
      <c r="E82" s="39">
        <v>6037</v>
      </c>
      <c r="F82" s="1418">
        <f t="shared" si="2"/>
        <v>50.11</v>
      </c>
      <c r="G82" s="249">
        <f t="shared" si="3"/>
        <v>49.89</v>
      </c>
    </row>
    <row r="83" spans="1:7" ht="15" customHeight="1">
      <c r="A83" s="1467" t="s">
        <v>429</v>
      </c>
      <c r="B83" s="85" t="s">
        <v>1855</v>
      </c>
      <c r="C83" s="39">
        <v>4992</v>
      </c>
      <c r="D83" s="39">
        <v>4771</v>
      </c>
      <c r="E83" s="39">
        <v>9763</v>
      </c>
      <c r="F83" s="1418">
        <f t="shared" si="2"/>
        <v>51.13</v>
      </c>
      <c r="G83" s="249">
        <f t="shared" si="3"/>
        <v>48.87</v>
      </c>
    </row>
    <row r="84" spans="1:7" ht="15" customHeight="1">
      <c r="A84" s="1463" t="s">
        <v>1853</v>
      </c>
      <c r="B84" s="85" t="s">
        <v>0</v>
      </c>
      <c r="C84" s="39">
        <v>13234</v>
      </c>
      <c r="D84" s="39">
        <v>12688</v>
      </c>
      <c r="E84" s="39">
        <v>25922</v>
      </c>
      <c r="F84" s="1418">
        <f t="shared" si="0"/>
        <v>51.05</v>
      </c>
      <c r="G84" s="249">
        <f t="shared" si="1"/>
        <v>48.95</v>
      </c>
    </row>
    <row r="85" spans="1:7" ht="15" customHeight="1">
      <c r="A85" s="1463" t="s">
        <v>1221</v>
      </c>
      <c r="B85" s="85" t="s">
        <v>0</v>
      </c>
      <c r="C85" s="39">
        <v>26718</v>
      </c>
      <c r="D85" s="39">
        <v>26410</v>
      </c>
      <c r="E85" s="39">
        <v>53128</v>
      </c>
      <c r="F85" s="1418">
        <f t="shared" si="0"/>
        <v>50.29</v>
      </c>
      <c r="G85" s="249">
        <f t="shared" si="1"/>
        <v>49.71</v>
      </c>
    </row>
    <row r="86" spans="1:7" ht="15" customHeight="1">
      <c r="A86" s="1463" t="s">
        <v>1854</v>
      </c>
      <c r="B86" s="85" t="s">
        <v>0</v>
      </c>
      <c r="C86" s="39">
        <v>215405</v>
      </c>
      <c r="D86" s="39">
        <v>208963</v>
      </c>
      <c r="E86" s="39">
        <v>424368</v>
      </c>
      <c r="F86" s="1418">
        <f t="shared" si="0"/>
        <v>50.76</v>
      </c>
      <c r="G86" s="249">
        <f t="shared" si="1"/>
        <v>49.24</v>
      </c>
    </row>
    <row r="87" spans="1:7" ht="15" customHeight="1">
      <c r="A87" s="220" t="s">
        <v>315</v>
      </c>
      <c r="B87" s="1263" t="s">
        <v>1681</v>
      </c>
      <c r="C87" s="1423">
        <f>SUM(C88:C97)</f>
        <v>71540</v>
      </c>
      <c r="D87" s="1423">
        <f>SUM(D88:D97)</f>
        <v>69493</v>
      </c>
      <c r="E87" s="354">
        <f>SUM(C87:D87)</f>
        <v>141033</v>
      </c>
      <c r="F87" s="1473">
        <f t="shared" ref="F87:F97" si="4">ROUND(C87/E87*100,2)</f>
        <v>50.73</v>
      </c>
      <c r="G87" s="355">
        <f t="shared" ref="G87:G97" si="5">ROUND(D87/E87*100,2)</f>
        <v>49.27</v>
      </c>
    </row>
    <row r="88" spans="1:7" ht="15" customHeight="1">
      <c r="A88" s="1467" t="s">
        <v>1635</v>
      </c>
      <c r="B88" s="85" t="s">
        <v>1855</v>
      </c>
      <c r="C88" s="39">
        <v>5079</v>
      </c>
      <c r="D88" s="39">
        <v>4996</v>
      </c>
      <c r="E88" s="39">
        <v>10075</v>
      </c>
      <c r="F88" s="1418">
        <f t="shared" si="4"/>
        <v>50.41</v>
      </c>
      <c r="G88" s="249">
        <f t="shared" si="5"/>
        <v>49.59</v>
      </c>
    </row>
    <row r="89" spans="1:7" ht="15" customHeight="1">
      <c r="A89" s="1467" t="s">
        <v>1636</v>
      </c>
      <c r="B89" s="85" t="s">
        <v>1855</v>
      </c>
      <c r="C89" s="39">
        <v>2708</v>
      </c>
      <c r="D89" s="39">
        <v>2552</v>
      </c>
      <c r="E89" s="39">
        <v>5260</v>
      </c>
      <c r="F89" s="1418">
        <f t="shared" si="4"/>
        <v>51.48</v>
      </c>
      <c r="G89" s="249">
        <f t="shared" si="5"/>
        <v>48.52</v>
      </c>
    </row>
    <row r="90" spans="1:7" ht="15" customHeight="1">
      <c r="A90" s="1467" t="s">
        <v>1637</v>
      </c>
      <c r="B90" s="85" t="s">
        <v>1855</v>
      </c>
      <c r="C90" s="39">
        <v>14814</v>
      </c>
      <c r="D90" s="39">
        <v>14707</v>
      </c>
      <c r="E90" s="39">
        <v>29521</v>
      </c>
      <c r="F90" s="1418">
        <f t="shared" si="4"/>
        <v>50.18</v>
      </c>
      <c r="G90" s="249">
        <f t="shared" si="5"/>
        <v>49.82</v>
      </c>
    </row>
    <row r="91" spans="1:7" ht="15" customHeight="1">
      <c r="A91" s="1467" t="s">
        <v>1638</v>
      </c>
      <c r="B91" s="85" t="s">
        <v>1855</v>
      </c>
      <c r="C91" s="39">
        <v>4983</v>
      </c>
      <c r="D91" s="39">
        <v>4771</v>
      </c>
      <c r="E91" s="39">
        <v>9754</v>
      </c>
      <c r="F91" s="1418">
        <f t="shared" si="4"/>
        <v>51.09</v>
      </c>
      <c r="G91" s="249">
        <f t="shared" si="5"/>
        <v>48.91</v>
      </c>
    </row>
    <row r="92" spans="1:7" ht="15" customHeight="1">
      <c r="A92" s="1467" t="s">
        <v>1639</v>
      </c>
      <c r="B92" s="85" t="s">
        <v>1855</v>
      </c>
      <c r="C92" s="39">
        <v>6285</v>
      </c>
      <c r="D92" s="39">
        <v>6174</v>
      </c>
      <c r="E92" s="39">
        <v>12459</v>
      </c>
      <c r="F92" s="1418">
        <f t="shared" si="4"/>
        <v>50.45</v>
      </c>
      <c r="G92" s="249">
        <f t="shared" si="5"/>
        <v>49.55</v>
      </c>
    </row>
    <row r="93" spans="1:7" ht="15" customHeight="1">
      <c r="A93" s="1467" t="s">
        <v>1640</v>
      </c>
      <c r="B93" s="85" t="s">
        <v>1855</v>
      </c>
      <c r="C93" s="39">
        <v>4219</v>
      </c>
      <c r="D93" s="39">
        <v>4127</v>
      </c>
      <c r="E93" s="39">
        <v>8346</v>
      </c>
      <c r="F93" s="1418">
        <f t="shared" si="4"/>
        <v>50.55</v>
      </c>
      <c r="G93" s="249">
        <f t="shared" si="5"/>
        <v>49.45</v>
      </c>
    </row>
    <row r="94" spans="1:7" ht="15" customHeight="1">
      <c r="A94" s="1467" t="s">
        <v>1641</v>
      </c>
      <c r="B94" s="85" t="s">
        <v>1855</v>
      </c>
      <c r="C94" s="39">
        <v>16248</v>
      </c>
      <c r="D94" s="39">
        <v>15672</v>
      </c>
      <c r="E94" s="39">
        <v>31920</v>
      </c>
      <c r="F94" s="1418">
        <f t="shared" si="4"/>
        <v>50.9</v>
      </c>
      <c r="G94" s="249">
        <f t="shared" si="5"/>
        <v>49.1</v>
      </c>
    </row>
    <row r="95" spans="1:7" ht="15" customHeight="1">
      <c r="A95" s="1467" t="s">
        <v>1642</v>
      </c>
      <c r="B95" s="85" t="s">
        <v>1855</v>
      </c>
      <c r="C95" s="39">
        <v>8106</v>
      </c>
      <c r="D95" s="39">
        <v>7775</v>
      </c>
      <c r="E95" s="39">
        <v>15881</v>
      </c>
      <c r="F95" s="1418">
        <f t="shared" si="4"/>
        <v>51.04</v>
      </c>
      <c r="G95" s="249">
        <f t="shared" si="5"/>
        <v>48.96</v>
      </c>
    </row>
    <row r="96" spans="1:7" ht="15" customHeight="1">
      <c r="A96" s="1467" t="s">
        <v>1643</v>
      </c>
      <c r="B96" s="85" t="s">
        <v>1855</v>
      </c>
      <c r="C96" s="39">
        <v>5651</v>
      </c>
      <c r="D96" s="39">
        <v>5541</v>
      </c>
      <c r="E96" s="39">
        <v>11192</v>
      </c>
      <c r="F96" s="1418">
        <f t="shared" si="4"/>
        <v>50.49</v>
      </c>
      <c r="G96" s="249">
        <f t="shared" si="5"/>
        <v>49.51</v>
      </c>
    </row>
    <row r="97" spans="1:7" ht="15" customHeight="1">
      <c r="A97" s="1471" t="s">
        <v>1644</v>
      </c>
      <c r="B97" s="302" t="s">
        <v>1855</v>
      </c>
      <c r="C97" s="25">
        <v>3447</v>
      </c>
      <c r="D97" s="25">
        <v>3178</v>
      </c>
      <c r="E97" s="25">
        <v>6625</v>
      </c>
      <c r="F97" s="1417">
        <f t="shared" si="4"/>
        <v>52.03</v>
      </c>
      <c r="G97" s="259">
        <f t="shared" si="5"/>
        <v>47.97</v>
      </c>
    </row>
    <row r="98" spans="1:7" ht="12.75" customHeight="1">
      <c r="A98" s="950"/>
      <c r="B98" s="79"/>
      <c r="C98" s="39"/>
      <c r="D98" s="39"/>
      <c r="E98" s="39"/>
      <c r="F98" s="321"/>
      <c r="G98" s="1470" t="s">
        <v>678</v>
      </c>
    </row>
    <row r="99" spans="1:7" ht="13.5" customHeight="1">
      <c r="A99" s="1739" t="s">
        <v>684</v>
      </c>
      <c r="B99" s="1739"/>
      <c r="C99" s="1739"/>
      <c r="D99" s="1739"/>
      <c r="E99" s="1739"/>
      <c r="F99" s="1739"/>
      <c r="G99" s="1739"/>
    </row>
    <row r="100" spans="1:7">
      <c r="B100" s="488"/>
      <c r="C100" s="488"/>
      <c r="D100" s="488"/>
      <c r="E100" s="488"/>
      <c r="F100" s="488"/>
      <c r="G100" s="1373" t="s">
        <v>489</v>
      </c>
    </row>
    <row r="101" spans="1:7" ht="30" customHeight="1">
      <c r="A101" s="1737" t="s">
        <v>1679</v>
      </c>
      <c r="B101" s="1737" t="s">
        <v>1680</v>
      </c>
      <c r="C101" s="1782" t="s">
        <v>337</v>
      </c>
      <c r="D101" s="1785"/>
      <c r="E101" s="1783"/>
      <c r="F101" s="1782" t="s">
        <v>521</v>
      </c>
      <c r="G101" s="1783"/>
    </row>
    <row r="102" spans="1:7" ht="15.75" customHeight="1">
      <c r="A102" s="1738"/>
      <c r="B102" s="1738"/>
      <c r="C102" s="336" t="s">
        <v>1003</v>
      </c>
      <c r="D102" s="336" t="s">
        <v>1004</v>
      </c>
      <c r="E102" s="338" t="s">
        <v>958</v>
      </c>
      <c r="F102" s="336" t="s">
        <v>1065</v>
      </c>
      <c r="G102" s="338" t="s">
        <v>1004</v>
      </c>
    </row>
    <row r="103" spans="1:7" ht="14.25" customHeight="1">
      <c r="A103" s="199" t="s">
        <v>928</v>
      </c>
      <c r="B103" s="120" t="s">
        <v>929</v>
      </c>
      <c r="C103" s="119" t="s">
        <v>930</v>
      </c>
      <c r="D103" s="119" t="s">
        <v>931</v>
      </c>
      <c r="E103" s="120" t="s">
        <v>932</v>
      </c>
      <c r="F103" s="119" t="s">
        <v>933</v>
      </c>
      <c r="G103" s="120" t="s">
        <v>934</v>
      </c>
    </row>
    <row r="104" spans="1:7" ht="18" customHeight="1">
      <c r="A104" s="1419" t="s">
        <v>25</v>
      </c>
      <c r="B104" s="1428" t="s">
        <v>1684</v>
      </c>
      <c r="C104" s="353">
        <f>SUM(C105:C140)</f>
        <v>158968</v>
      </c>
      <c r="D104" s="353">
        <f>SUM(D105:D140)</f>
        <v>151577</v>
      </c>
      <c r="E104" s="1423">
        <f>C104+D104</f>
        <v>310545</v>
      </c>
      <c r="F104" s="1426">
        <f t="shared" si="0"/>
        <v>51.19</v>
      </c>
      <c r="G104" s="355">
        <f t="shared" si="1"/>
        <v>48.81</v>
      </c>
    </row>
    <row r="105" spans="1:7" ht="18" customHeight="1">
      <c r="A105" s="1467" t="s">
        <v>1645</v>
      </c>
      <c r="B105" s="393" t="s">
        <v>1855</v>
      </c>
      <c r="C105" s="39">
        <v>2173</v>
      </c>
      <c r="D105" s="39">
        <v>2236</v>
      </c>
      <c r="E105" s="39">
        <v>4409</v>
      </c>
      <c r="F105" s="1123">
        <f t="shared" si="0"/>
        <v>49.29</v>
      </c>
      <c r="G105" s="911">
        <f t="shared" si="1"/>
        <v>50.71</v>
      </c>
    </row>
    <row r="106" spans="1:7" ht="18" customHeight="1">
      <c r="A106" s="1467" t="s">
        <v>1646</v>
      </c>
      <c r="B106" s="393" t="s">
        <v>1855</v>
      </c>
      <c r="C106" s="39">
        <v>5184</v>
      </c>
      <c r="D106" s="39">
        <v>5066</v>
      </c>
      <c r="E106" s="39">
        <v>10250</v>
      </c>
      <c r="F106" s="1123">
        <f t="shared" si="0"/>
        <v>50.58</v>
      </c>
      <c r="G106" s="911">
        <f t="shared" si="1"/>
        <v>49.42</v>
      </c>
    </row>
    <row r="107" spans="1:7" ht="18" customHeight="1">
      <c r="A107" s="1467" t="s">
        <v>1647</v>
      </c>
      <c r="B107" s="393" t="s">
        <v>1855</v>
      </c>
      <c r="C107" s="39">
        <v>2450</v>
      </c>
      <c r="D107" s="39">
        <v>2253</v>
      </c>
      <c r="E107" s="39">
        <v>4703</v>
      </c>
      <c r="F107" s="1123">
        <f t="shared" si="0"/>
        <v>52.09</v>
      </c>
      <c r="G107" s="911">
        <f t="shared" si="1"/>
        <v>47.91</v>
      </c>
    </row>
    <row r="108" spans="1:7" ht="18" customHeight="1">
      <c r="A108" s="1467" t="s">
        <v>1650</v>
      </c>
      <c r="B108" s="393" t="s">
        <v>1855</v>
      </c>
      <c r="C108" s="39">
        <v>3252</v>
      </c>
      <c r="D108" s="39">
        <v>2958</v>
      </c>
      <c r="E108" s="39">
        <v>6210</v>
      </c>
      <c r="F108" s="1123">
        <f t="shared" si="0"/>
        <v>52.37</v>
      </c>
      <c r="G108" s="911">
        <f t="shared" si="1"/>
        <v>47.63</v>
      </c>
    </row>
    <row r="109" spans="1:7" ht="18" customHeight="1">
      <c r="A109" s="1467" t="s">
        <v>1651</v>
      </c>
      <c r="B109" s="393" t="s">
        <v>1855</v>
      </c>
      <c r="C109" s="39">
        <v>3173</v>
      </c>
      <c r="D109" s="39">
        <v>3057</v>
      </c>
      <c r="E109" s="39">
        <v>6230</v>
      </c>
      <c r="F109" s="1123">
        <f t="shared" si="0"/>
        <v>50.93</v>
      </c>
      <c r="G109" s="911">
        <f t="shared" si="1"/>
        <v>49.07</v>
      </c>
    </row>
    <row r="110" spans="1:7" ht="18" customHeight="1">
      <c r="A110" s="1467" t="s">
        <v>1652</v>
      </c>
      <c r="B110" s="393" t="s">
        <v>1855</v>
      </c>
      <c r="C110" s="39">
        <v>2941</v>
      </c>
      <c r="D110" s="39">
        <v>2595</v>
      </c>
      <c r="E110" s="39">
        <v>5536</v>
      </c>
      <c r="F110" s="1123">
        <f t="shared" si="0"/>
        <v>53.13</v>
      </c>
      <c r="G110" s="911">
        <f t="shared" si="1"/>
        <v>46.88</v>
      </c>
    </row>
    <row r="111" spans="1:7" ht="18" customHeight="1">
      <c r="A111" s="1467" t="s">
        <v>1654</v>
      </c>
      <c r="B111" s="393" t="s">
        <v>1855</v>
      </c>
      <c r="C111" s="39">
        <v>5580</v>
      </c>
      <c r="D111" s="39">
        <v>5136</v>
      </c>
      <c r="E111" s="39">
        <v>10716</v>
      </c>
      <c r="F111" s="1123">
        <f t="shared" si="0"/>
        <v>52.07</v>
      </c>
      <c r="G111" s="911">
        <f t="shared" si="1"/>
        <v>47.93</v>
      </c>
    </row>
    <row r="112" spans="1:7" ht="18" customHeight="1">
      <c r="A112" s="1467" t="s">
        <v>1655</v>
      </c>
      <c r="B112" s="393" t="s">
        <v>1855</v>
      </c>
      <c r="C112" s="39">
        <v>6736</v>
      </c>
      <c r="D112" s="39">
        <v>6350</v>
      </c>
      <c r="E112" s="39">
        <v>13086</v>
      </c>
      <c r="F112" s="1123">
        <f t="shared" si="0"/>
        <v>51.47</v>
      </c>
      <c r="G112" s="911">
        <f t="shared" si="1"/>
        <v>48.53</v>
      </c>
    </row>
    <row r="113" spans="1:7" ht="18" customHeight="1">
      <c r="A113" s="1467" t="s">
        <v>1656</v>
      </c>
      <c r="B113" s="393" t="s">
        <v>1855</v>
      </c>
      <c r="C113" s="39">
        <v>2334</v>
      </c>
      <c r="D113" s="39">
        <v>2183</v>
      </c>
      <c r="E113" s="39">
        <v>4517</v>
      </c>
      <c r="F113" s="1123">
        <f t="shared" si="0"/>
        <v>51.67</v>
      </c>
      <c r="G113" s="911">
        <f t="shared" si="1"/>
        <v>48.33</v>
      </c>
    </row>
    <row r="114" spans="1:7" ht="18" customHeight="1">
      <c r="A114" s="1467" t="s">
        <v>1657</v>
      </c>
      <c r="B114" s="393" t="s">
        <v>1855</v>
      </c>
      <c r="C114" s="39">
        <v>5166</v>
      </c>
      <c r="D114" s="39">
        <v>4889</v>
      </c>
      <c r="E114" s="39">
        <v>10055</v>
      </c>
      <c r="F114" s="1123">
        <f t="shared" si="0"/>
        <v>51.38</v>
      </c>
      <c r="G114" s="911">
        <f t="shared" si="1"/>
        <v>48.62</v>
      </c>
    </row>
    <row r="115" spans="1:7" ht="18" customHeight="1">
      <c r="A115" s="1467" t="s">
        <v>1658</v>
      </c>
      <c r="B115" s="393" t="s">
        <v>1855</v>
      </c>
      <c r="C115" s="39">
        <v>11415</v>
      </c>
      <c r="D115" s="39">
        <v>10609</v>
      </c>
      <c r="E115" s="39">
        <v>22024</v>
      </c>
      <c r="F115" s="1123">
        <f t="shared" si="0"/>
        <v>51.83</v>
      </c>
      <c r="G115" s="911">
        <f t="shared" si="1"/>
        <v>48.17</v>
      </c>
    </row>
    <row r="116" spans="1:7" ht="18" customHeight="1">
      <c r="A116" s="1467" t="s">
        <v>1659</v>
      </c>
      <c r="B116" s="393" t="s">
        <v>1855</v>
      </c>
      <c r="C116" s="39">
        <v>3533</v>
      </c>
      <c r="D116" s="39">
        <v>3239</v>
      </c>
      <c r="E116" s="39">
        <v>6772</v>
      </c>
      <c r="F116" s="1123">
        <f t="shared" si="0"/>
        <v>52.17</v>
      </c>
      <c r="G116" s="911">
        <f t="shared" si="1"/>
        <v>47.83</v>
      </c>
    </row>
    <row r="117" spans="1:7" ht="18" customHeight="1">
      <c r="A117" s="1467" t="s">
        <v>1660</v>
      </c>
      <c r="B117" s="393" t="s">
        <v>1855</v>
      </c>
      <c r="C117" s="39">
        <v>3382</v>
      </c>
      <c r="D117" s="39">
        <v>3092</v>
      </c>
      <c r="E117" s="39">
        <v>6474</v>
      </c>
      <c r="F117" s="1123">
        <f t="shared" si="0"/>
        <v>52.24</v>
      </c>
      <c r="G117" s="911">
        <f t="shared" si="1"/>
        <v>47.76</v>
      </c>
    </row>
    <row r="118" spans="1:7" ht="18" customHeight="1">
      <c r="A118" s="1467" t="s">
        <v>1661</v>
      </c>
      <c r="B118" s="393" t="s">
        <v>1855</v>
      </c>
      <c r="C118" s="39">
        <v>5906</v>
      </c>
      <c r="D118" s="39">
        <v>5588</v>
      </c>
      <c r="E118" s="39">
        <v>11494</v>
      </c>
      <c r="F118" s="1123">
        <f t="shared" si="0"/>
        <v>51.38</v>
      </c>
      <c r="G118" s="911">
        <f t="shared" si="1"/>
        <v>48.62</v>
      </c>
    </row>
    <row r="119" spans="1:7" ht="18" customHeight="1">
      <c r="A119" s="1467" t="s">
        <v>1662</v>
      </c>
      <c r="B119" s="393" t="s">
        <v>1855</v>
      </c>
      <c r="C119" s="39">
        <v>2918</v>
      </c>
      <c r="D119" s="39">
        <v>2781</v>
      </c>
      <c r="E119" s="39">
        <v>5699</v>
      </c>
      <c r="F119" s="1123">
        <f t="shared" si="0"/>
        <v>51.2</v>
      </c>
      <c r="G119" s="911">
        <f t="shared" si="1"/>
        <v>48.8</v>
      </c>
    </row>
    <row r="120" spans="1:7" ht="18" customHeight="1">
      <c r="A120" s="1467" t="s">
        <v>1663</v>
      </c>
      <c r="B120" s="393" t="s">
        <v>1855</v>
      </c>
      <c r="C120" s="39">
        <v>3164</v>
      </c>
      <c r="D120" s="39">
        <v>3166</v>
      </c>
      <c r="E120" s="39">
        <v>6330</v>
      </c>
      <c r="F120" s="1123">
        <f t="shared" si="0"/>
        <v>49.98</v>
      </c>
      <c r="G120" s="911">
        <f t="shared" si="1"/>
        <v>50.02</v>
      </c>
    </row>
    <row r="121" spans="1:7" ht="18" customHeight="1">
      <c r="A121" s="1467" t="s">
        <v>1664</v>
      </c>
      <c r="B121" s="393" t="s">
        <v>1855</v>
      </c>
      <c r="C121" s="39">
        <v>8643</v>
      </c>
      <c r="D121" s="39">
        <v>8749</v>
      </c>
      <c r="E121" s="39">
        <v>17392</v>
      </c>
      <c r="F121" s="1123">
        <f t="shared" si="0"/>
        <v>49.7</v>
      </c>
      <c r="G121" s="911">
        <f t="shared" si="1"/>
        <v>50.3</v>
      </c>
    </row>
    <row r="122" spans="1:7" ht="18" customHeight="1">
      <c r="A122" s="1467" t="s">
        <v>298</v>
      </c>
      <c r="B122" s="393" t="s">
        <v>1855</v>
      </c>
      <c r="C122" s="39">
        <v>3533</v>
      </c>
      <c r="D122" s="39">
        <v>3244</v>
      </c>
      <c r="E122" s="39">
        <v>6777</v>
      </c>
      <c r="F122" s="1123">
        <f t="shared" si="0"/>
        <v>52.13</v>
      </c>
      <c r="G122" s="911">
        <f t="shared" si="1"/>
        <v>47.87</v>
      </c>
    </row>
    <row r="123" spans="1:7" ht="18" customHeight="1">
      <c r="A123" s="1467" t="s">
        <v>299</v>
      </c>
      <c r="B123" s="393" t="s">
        <v>1855</v>
      </c>
      <c r="C123" s="39">
        <v>2704</v>
      </c>
      <c r="D123" s="39">
        <v>2514</v>
      </c>
      <c r="E123" s="39">
        <v>5218</v>
      </c>
      <c r="F123" s="1123">
        <f t="shared" si="0"/>
        <v>51.82</v>
      </c>
      <c r="G123" s="911">
        <f t="shared" si="1"/>
        <v>48.18</v>
      </c>
    </row>
    <row r="124" spans="1:7" ht="18" customHeight="1">
      <c r="A124" s="1467" t="s">
        <v>300</v>
      </c>
      <c r="B124" s="393" t="s">
        <v>1855</v>
      </c>
      <c r="C124" s="39">
        <v>6660</v>
      </c>
      <c r="D124" s="39">
        <v>6400</v>
      </c>
      <c r="E124" s="39">
        <v>13060</v>
      </c>
      <c r="F124" s="1123">
        <f t="shared" si="0"/>
        <v>51</v>
      </c>
      <c r="G124" s="911">
        <f t="shared" si="1"/>
        <v>49</v>
      </c>
    </row>
    <row r="125" spans="1:7" ht="18" customHeight="1">
      <c r="A125" s="1467" t="s">
        <v>1665</v>
      </c>
      <c r="B125" s="393" t="s">
        <v>1855</v>
      </c>
      <c r="C125" s="39">
        <v>5462</v>
      </c>
      <c r="D125" s="39">
        <v>5286</v>
      </c>
      <c r="E125" s="39">
        <v>10748</v>
      </c>
      <c r="F125" s="1123">
        <f t="shared" si="0"/>
        <v>50.82</v>
      </c>
      <c r="G125" s="911">
        <f t="shared" si="1"/>
        <v>49.18</v>
      </c>
    </row>
    <row r="126" spans="1:7" ht="18" customHeight="1">
      <c r="A126" s="1467" t="s">
        <v>1666</v>
      </c>
      <c r="B126" s="393" t="s">
        <v>1855</v>
      </c>
      <c r="C126" s="39">
        <v>2952</v>
      </c>
      <c r="D126" s="39">
        <v>2852</v>
      </c>
      <c r="E126" s="39">
        <v>5804</v>
      </c>
      <c r="F126" s="1123">
        <f t="shared" si="0"/>
        <v>50.86</v>
      </c>
      <c r="G126" s="911">
        <f t="shared" si="1"/>
        <v>49.14</v>
      </c>
    </row>
    <row r="127" spans="1:7" ht="18" customHeight="1">
      <c r="A127" s="1467" t="s">
        <v>1667</v>
      </c>
      <c r="B127" s="393" t="s">
        <v>1855</v>
      </c>
      <c r="C127" s="39">
        <v>2689</v>
      </c>
      <c r="D127" s="39">
        <v>2578</v>
      </c>
      <c r="E127" s="39">
        <v>5267</v>
      </c>
      <c r="F127" s="1123">
        <f t="shared" si="0"/>
        <v>51.05</v>
      </c>
      <c r="G127" s="911">
        <f t="shared" si="1"/>
        <v>48.95</v>
      </c>
    </row>
    <row r="128" spans="1:7" ht="18" customHeight="1">
      <c r="A128" s="1467" t="s">
        <v>1668</v>
      </c>
      <c r="B128" s="393" t="s">
        <v>1855</v>
      </c>
      <c r="C128" s="39">
        <v>2423</v>
      </c>
      <c r="D128" s="39">
        <v>2318</v>
      </c>
      <c r="E128" s="39">
        <v>4741</v>
      </c>
      <c r="F128" s="1123">
        <f t="shared" si="0"/>
        <v>51.11</v>
      </c>
      <c r="G128" s="911">
        <f t="shared" si="1"/>
        <v>48.89</v>
      </c>
    </row>
    <row r="129" spans="1:7" ht="18" customHeight="1">
      <c r="A129" s="1467" t="s">
        <v>403</v>
      </c>
      <c r="B129" s="393" t="s">
        <v>1855</v>
      </c>
      <c r="C129" s="39">
        <v>2711</v>
      </c>
      <c r="D129" s="39">
        <v>2575</v>
      </c>
      <c r="E129" s="39">
        <v>5286</v>
      </c>
      <c r="F129" s="1123">
        <f t="shared" si="0"/>
        <v>51.29</v>
      </c>
      <c r="G129" s="911">
        <f t="shared" si="1"/>
        <v>48.71</v>
      </c>
    </row>
    <row r="130" spans="1:7" ht="18" customHeight="1">
      <c r="A130" s="1472" t="s">
        <v>1669</v>
      </c>
      <c r="B130" s="394" t="s">
        <v>1855</v>
      </c>
      <c r="C130" s="39">
        <v>4117</v>
      </c>
      <c r="D130" s="39">
        <v>3988</v>
      </c>
      <c r="E130" s="82">
        <v>8105</v>
      </c>
      <c r="F130" s="554">
        <f t="shared" si="0"/>
        <v>50.8</v>
      </c>
      <c r="G130" s="911">
        <f t="shared" si="1"/>
        <v>49.2</v>
      </c>
    </row>
    <row r="131" spans="1:7" ht="18" customHeight="1">
      <c r="A131" s="1467" t="s">
        <v>1670</v>
      </c>
      <c r="B131" s="393" t="s">
        <v>1855</v>
      </c>
      <c r="C131" s="39">
        <v>2984</v>
      </c>
      <c r="D131" s="39">
        <v>2855</v>
      </c>
      <c r="E131" s="39">
        <v>5839</v>
      </c>
      <c r="F131" s="1123">
        <f t="shared" si="0"/>
        <v>51.1</v>
      </c>
      <c r="G131" s="911">
        <f t="shared" si="1"/>
        <v>48.9</v>
      </c>
    </row>
    <row r="132" spans="1:7" ht="18" customHeight="1">
      <c r="A132" s="1467" t="s">
        <v>1671</v>
      </c>
      <c r="B132" s="393" t="s">
        <v>1855</v>
      </c>
      <c r="C132" s="39">
        <v>2896</v>
      </c>
      <c r="D132" s="39">
        <v>2768</v>
      </c>
      <c r="E132" s="39">
        <v>5664</v>
      </c>
      <c r="F132" s="1123">
        <f t="shared" si="0"/>
        <v>51.13</v>
      </c>
      <c r="G132" s="911">
        <f t="shared" si="1"/>
        <v>48.87</v>
      </c>
    </row>
    <row r="133" spans="1:7" ht="18" customHeight="1">
      <c r="A133" s="1467" t="s">
        <v>1672</v>
      </c>
      <c r="B133" s="393" t="s">
        <v>1855</v>
      </c>
      <c r="C133" s="39">
        <v>2502</v>
      </c>
      <c r="D133" s="39">
        <v>2343</v>
      </c>
      <c r="E133" s="39">
        <v>4845</v>
      </c>
      <c r="F133" s="1123">
        <f t="shared" si="0"/>
        <v>51.64</v>
      </c>
      <c r="G133" s="911">
        <f t="shared" si="1"/>
        <v>48.36</v>
      </c>
    </row>
    <row r="134" spans="1:7" ht="18" customHeight="1">
      <c r="A134" s="1467" t="s">
        <v>1673</v>
      </c>
      <c r="B134" s="393" t="s">
        <v>1855</v>
      </c>
      <c r="C134" s="39">
        <v>2403</v>
      </c>
      <c r="D134" s="39">
        <v>2255</v>
      </c>
      <c r="E134" s="39">
        <v>4658</v>
      </c>
      <c r="F134" s="1123">
        <f t="shared" si="0"/>
        <v>51.59</v>
      </c>
      <c r="G134" s="911">
        <f t="shared" si="1"/>
        <v>48.41</v>
      </c>
    </row>
    <row r="135" spans="1:7" ht="18" customHeight="1">
      <c r="A135" s="1467" t="s">
        <v>1674</v>
      </c>
      <c r="B135" s="393" t="s">
        <v>1855</v>
      </c>
      <c r="C135" s="39">
        <v>2552</v>
      </c>
      <c r="D135" s="39">
        <v>2441</v>
      </c>
      <c r="E135" s="39">
        <v>4993</v>
      </c>
      <c r="F135" s="1123">
        <f t="shared" si="0"/>
        <v>51.11</v>
      </c>
      <c r="G135" s="911">
        <f t="shared" si="1"/>
        <v>48.89</v>
      </c>
    </row>
    <row r="136" spans="1:7" ht="18" customHeight="1">
      <c r="A136" s="1467" t="s">
        <v>1675</v>
      </c>
      <c r="B136" s="393" t="s">
        <v>1855</v>
      </c>
      <c r="C136" s="39">
        <v>2705</v>
      </c>
      <c r="D136" s="39">
        <v>2502</v>
      </c>
      <c r="E136" s="39">
        <v>5207</v>
      </c>
      <c r="F136" s="1123">
        <f t="shared" si="0"/>
        <v>51.95</v>
      </c>
      <c r="G136" s="911">
        <f t="shared" si="1"/>
        <v>48.05</v>
      </c>
    </row>
    <row r="137" spans="1:7" ht="18" customHeight="1">
      <c r="A137" s="1467" t="s">
        <v>1676</v>
      </c>
      <c r="B137" s="393" t="s">
        <v>1855</v>
      </c>
      <c r="C137" s="39">
        <v>2436</v>
      </c>
      <c r="D137" s="39">
        <v>2255</v>
      </c>
      <c r="E137" s="39">
        <v>4691</v>
      </c>
      <c r="F137" s="1123">
        <f t="shared" si="0"/>
        <v>51.93</v>
      </c>
      <c r="G137" s="911">
        <f t="shared" si="1"/>
        <v>48.07</v>
      </c>
    </row>
    <row r="138" spans="1:7" ht="18" customHeight="1">
      <c r="A138" s="1467" t="s">
        <v>1677</v>
      </c>
      <c r="B138" s="393" t="s">
        <v>1855</v>
      </c>
      <c r="C138" s="39">
        <v>4269</v>
      </c>
      <c r="D138" s="39">
        <v>3877</v>
      </c>
      <c r="E138" s="39">
        <v>8146</v>
      </c>
      <c r="F138" s="1123">
        <f t="shared" si="0"/>
        <v>52.41</v>
      </c>
      <c r="G138" s="911">
        <f t="shared" si="1"/>
        <v>47.59</v>
      </c>
    </row>
    <row r="139" spans="1:7" ht="18" customHeight="1">
      <c r="A139" s="1467" t="s">
        <v>1678</v>
      </c>
      <c r="B139" s="393" t="s">
        <v>1855</v>
      </c>
      <c r="C139" s="39">
        <v>3970</v>
      </c>
      <c r="D139" s="39">
        <v>3827</v>
      </c>
      <c r="E139" s="39">
        <v>7797</v>
      </c>
      <c r="F139" s="1123">
        <f t="shared" si="0"/>
        <v>50.92</v>
      </c>
      <c r="G139" s="911">
        <f t="shared" si="1"/>
        <v>49.08</v>
      </c>
    </row>
    <row r="140" spans="1:7" ht="18" customHeight="1">
      <c r="A140" s="1464" t="s">
        <v>1811</v>
      </c>
      <c r="B140" s="302" t="s">
        <v>0</v>
      </c>
      <c r="C140" s="25">
        <v>21050</v>
      </c>
      <c r="D140" s="25">
        <v>20752</v>
      </c>
      <c r="E140" s="25">
        <v>41802</v>
      </c>
      <c r="F140" s="1417">
        <f t="shared" si="0"/>
        <v>50.36</v>
      </c>
      <c r="G140" s="259">
        <f t="shared" si="1"/>
        <v>49.64</v>
      </c>
    </row>
    <row r="141" spans="1:7" ht="18" customHeight="1">
      <c r="A141" s="1420" t="s">
        <v>1404</v>
      </c>
      <c r="B141" s="1422" t="s">
        <v>1685</v>
      </c>
      <c r="C141" s="357">
        <f>SUM(C7,C53,C87,C104)</f>
        <v>1064559</v>
      </c>
      <c r="D141" s="357">
        <f>SUM(D7,D53,D87,D104)</f>
        <v>1023214</v>
      </c>
      <c r="E141" s="266">
        <f>C141+D141</f>
        <v>2087773</v>
      </c>
      <c r="F141" s="1427">
        <f>ROUND(C141/E141*100,2)</f>
        <v>50.99</v>
      </c>
      <c r="G141" s="358">
        <f>ROUND(D141/E141*100,2)</f>
        <v>49.01</v>
      </c>
    </row>
    <row r="142" spans="1:7">
      <c r="E142" s="1784" t="s">
        <v>1186</v>
      </c>
      <c r="F142" s="1784"/>
      <c r="G142" s="1784"/>
    </row>
    <row r="147" spans="6:6">
      <c r="F147" s="1320"/>
    </row>
  </sheetData>
  <mergeCells count="17">
    <mergeCell ref="C101:E101"/>
    <mergeCell ref="F101:G101"/>
    <mergeCell ref="A1:G1"/>
    <mergeCell ref="A2:G2"/>
    <mergeCell ref="A4:A5"/>
    <mergeCell ref="E142:G142"/>
    <mergeCell ref="F4:G4"/>
    <mergeCell ref="C4:E4"/>
    <mergeCell ref="B4:B5"/>
    <mergeCell ref="A50:A51"/>
    <mergeCell ref="B50:B51"/>
    <mergeCell ref="C50:E50"/>
    <mergeCell ref="F50:G50"/>
    <mergeCell ref="A48:G48"/>
    <mergeCell ref="A99:G99"/>
    <mergeCell ref="A101:A102"/>
    <mergeCell ref="B101:B102"/>
  </mergeCells>
  <phoneticPr fontId="0" type="noConversion"/>
  <printOptions horizontalCentered="1"/>
  <pageMargins left="0.1" right="0.1" top="0.56999999999999995" bottom="0.1" header="0.5" footer="0.1"/>
  <pageSetup paperSize="9" orientation="portrait" blackAndWhite="1" r:id="rId1"/>
  <headerFooter alignWithMargins="0"/>
  <rowBreaks count="2" manualBreakCount="2">
    <brk id="47" max="16383" man="1"/>
    <brk id="98" max="16383" man="1"/>
  </rowBreaks>
</worksheet>
</file>

<file path=xl/worksheets/sheet17.xml><?xml version="1.0" encoding="utf-8"?>
<worksheet xmlns="http://schemas.openxmlformats.org/spreadsheetml/2006/main" xmlns:r="http://schemas.openxmlformats.org/officeDocument/2006/relationships">
  <sheetPr codeName="Sheet16"/>
  <dimension ref="A1:T59"/>
  <sheetViews>
    <sheetView workbookViewId="0">
      <selection activeCell="J11" sqref="J11"/>
    </sheetView>
  </sheetViews>
  <sheetFormatPr defaultRowHeight="12.75"/>
  <cols>
    <col min="1" max="1" width="23.42578125" style="10" customWidth="1"/>
    <col min="2" max="11" width="10.5703125" style="10" customWidth="1"/>
    <col min="12" max="12" width="1.140625" style="10" customWidth="1"/>
    <col min="13" max="13" width="21.7109375" style="10" customWidth="1"/>
    <col min="14" max="20" width="11.85546875" style="10" customWidth="1"/>
    <col min="21" max="16384" width="9.140625" style="10"/>
  </cols>
  <sheetData>
    <row r="1" spans="1:20" ht="15" customHeight="1">
      <c r="A1" s="1708" t="s">
        <v>564</v>
      </c>
      <c r="B1" s="1708"/>
      <c r="C1" s="1708"/>
      <c r="D1" s="1708"/>
      <c r="E1" s="1708"/>
      <c r="F1" s="1708"/>
      <c r="G1" s="1708"/>
      <c r="H1" s="1708"/>
      <c r="I1" s="1708"/>
      <c r="J1" s="1708"/>
      <c r="K1" s="1708"/>
      <c r="L1" s="567"/>
      <c r="N1" s="567"/>
      <c r="O1" s="567"/>
      <c r="P1" s="567"/>
      <c r="Q1" s="567"/>
      <c r="R1" s="567"/>
      <c r="S1" s="567"/>
      <c r="T1" s="567"/>
    </row>
    <row r="2" spans="1:20" ht="30" customHeight="1">
      <c r="A2" s="1730" t="str">
        <f>CONCATENATE("Distribution of Population over different categories of workers and non-workers 
in the district of ",District!$A$1,", 2011")</f>
        <v>Distribution of Population over different categories of workers and non-workers 
in the district of South 24-Parganas, 2011</v>
      </c>
      <c r="B2" s="1730"/>
      <c r="C2" s="1730"/>
      <c r="D2" s="1730"/>
      <c r="E2" s="1730"/>
      <c r="F2" s="1730"/>
      <c r="G2" s="1730"/>
      <c r="H2" s="1730"/>
      <c r="I2" s="1730"/>
      <c r="J2" s="1730"/>
      <c r="K2" s="1730"/>
      <c r="L2" s="779"/>
      <c r="M2" s="1708" t="s">
        <v>563</v>
      </c>
      <c r="N2" s="1708"/>
      <c r="O2" s="1708"/>
      <c r="P2" s="1708"/>
      <c r="Q2" s="1708"/>
      <c r="R2" s="1708"/>
      <c r="S2" s="1708"/>
      <c r="T2" s="1708"/>
    </row>
    <row r="3" spans="1:20" ht="14.25" customHeight="1">
      <c r="B3" s="11"/>
      <c r="C3" s="11"/>
      <c r="D3" s="11"/>
      <c r="E3" s="11"/>
      <c r="F3" s="11"/>
      <c r="G3" s="11"/>
      <c r="H3" s="11"/>
      <c r="I3" s="11"/>
      <c r="K3" s="95" t="s">
        <v>489</v>
      </c>
      <c r="L3" s="92"/>
      <c r="N3" s="11"/>
      <c r="O3" s="11"/>
      <c r="P3" s="11"/>
      <c r="Q3" s="11"/>
      <c r="R3" s="11"/>
      <c r="S3" s="11"/>
      <c r="T3" s="95" t="s">
        <v>489</v>
      </c>
    </row>
    <row r="4" spans="1:20" ht="14.25" customHeight="1">
      <c r="A4" s="1737" t="s">
        <v>1698</v>
      </c>
      <c r="B4" s="1790" t="s">
        <v>520</v>
      </c>
      <c r="C4" s="1789"/>
      <c r="D4" s="1788" t="s">
        <v>1069</v>
      </c>
      <c r="E4" s="1790"/>
      <c r="F4" s="1790"/>
      <c r="G4" s="1790"/>
      <c r="H4" s="1790"/>
      <c r="I4" s="1790"/>
      <c r="J4" s="1790"/>
      <c r="K4" s="1789"/>
      <c r="L4" s="783"/>
      <c r="M4" s="1737" t="s">
        <v>1698</v>
      </c>
      <c r="N4" s="1788" t="s">
        <v>1073</v>
      </c>
      <c r="O4" s="1789"/>
      <c r="P4" s="1788" t="s">
        <v>1074</v>
      </c>
      <c r="Q4" s="1789"/>
      <c r="R4" s="1788" t="s">
        <v>860</v>
      </c>
      <c r="S4" s="1789"/>
      <c r="T4" s="1737" t="s">
        <v>1075</v>
      </c>
    </row>
    <row r="5" spans="1:20" ht="22.5" customHeight="1">
      <c r="A5" s="1743"/>
      <c r="B5" s="1723" t="s">
        <v>1066</v>
      </c>
      <c r="C5" s="1733" t="s">
        <v>1036</v>
      </c>
      <c r="D5" s="1732" t="s">
        <v>1068</v>
      </c>
      <c r="E5" s="1714"/>
      <c r="F5" s="1786" t="s">
        <v>1070</v>
      </c>
      <c r="G5" s="1787"/>
      <c r="H5" s="1786" t="s">
        <v>1072</v>
      </c>
      <c r="I5" s="1787"/>
      <c r="J5" s="1732" t="s">
        <v>1071</v>
      </c>
      <c r="K5" s="1714"/>
      <c r="L5" s="336"/>
      <c r="M5" s="1743"/>
      <c r="N5" s="1723" t="s">
        <v>1066</v>
      </c>
      <c r="O5" s="1733" t="s">
        <v>1036</v>
      </c>
      <c r="P5" s="1723" t="s">
        <v>1066</v>
      </c>
      <c r="Q5" s="1733" t="s">
        <v>1036</v>
      </c>
      <c r="R5" s="1723" t="s">
        <v>1066</v>
      </c>
      <c r="S5" s="1733" t="s">
        <v>1036</v>
      </c>
      <c r="T5" s="1743"/>
    </row>
    <row r="6" spans="1:20" ht="14.25" customHeight="1">
      <c r="A6" s="1738"/>
      <c r="B6" s="1725"/>
      <c r="C6" s="1735"/>
      <c r="D6" s="1013" t="s">
        <v>839</v>
      </c>
      <c r="E6" s="1013" t="s">
        <v>1067</v>
      </c>
      <c r="F6" s="1013" t="s">
        <v>839</v>
      </c>
      <c r="G6" s="1013" t="s">
        <v>1067</v>
      </c>
      <c r="H6" s="1013" t="s">
        <v>839</v>
      </c>
      <c r="I6" s="1013" t="s">
        <v>1067</v>
      </c>
      <c r="J6" s="1013" t="s">
        <v>839</v>
      </c>
      <c r="K6" s="648" t="s">
        <v>1067</v>
      </c>
      <c r="L6" s="784"/>
      <c r="M6" s="1738"/>
      <c r="N6" s="1725"/>
      <c r="O6" s="1735"/>
      <c r="P6" s="1725"/>
      <c r="Q6" s="1735"/>
      <c r="R6" s="1725"/>
      <c r="S6" s="1735"/>
      <c r="T6" s="1738"/>
    </row>
    <row r="7" spans="1:20" ht="14.25" customHeight="1">
      <c r="A7" s="359" t="s">
        <v>928</v>
      </c>
      <c r="B7" s="360" t="s">
        <v>929</v>
      </c>
      <c r="C7" s="361" t="s">
        <v>930</v>
      </c>
      <c r="D7" s="362" t="s">
        <v>931</v>
      </c>
      <c r="E7" s="361" t="s">
        <v>932</v>
      </c>
      <c r="F7" s="362" t="s">
        <v>933</v>
      </c>
      <c r="G7" s="361" t="s">
        <v>934</v>
      </c>
      <c r="H7" s="362" t="s">
        <v>959</v>
      </c>
      <c r="I7" s="361" t="s">
        <v>960</v>
      </c>
      <c r="J7" s="362" t="s">
        <v>961</v>
      </c>
      <c r="K7" s="361" t="s">
        <v>962</v>
      </c>
      <c r="L7" s="785"/>
      <c r="M7" s="359" t="s">
        <v>928</v>
      </c>
      <c r="N7" s="362" t="s">
        <v>1037</v>
      </c>
      <c r="O7" s="363" t="s">
        <v>1038</v>
      </c>
      <c r="P7" s="362" t="s">
        <v>1039</v>
      </c>
      <c r="Q7" s="363" t="s">
        <v>1040</v>
      </c>
      <c r="R7" s="362" t="s">
        <v>1041</v>
      </c>
      <c r="S7" s="363" t="s">
        <v>1042</v>
      </c>
      <c r="T7" s="364" t="s">
        <v>1044</v>
      </c>
    </row>
    <row r="8" spans="1:20" ht="18" customHeight="1">
      <c r="A8" s="1452" t="s">
        <v>24</v>
      </c>
      <c r="B8" s="780">
        <f>SUM(D8,F8,H8,J8)</f>
        <v>545029</v>
      </c>
      <c r="C8" s="1453">
        <f t="shared" ref="C8:C27" si="0">ROUND(B8/$T8*100,2)</f>
        <v>36.57</v>
      </c>
      <c r="D8" s="1454">
        <f>SUM(D9:D16)</f>
        <v>21895</v>
      </c>
      <c r="E8" s="1453">
        <f t="shared" ref="E8:E27" si="1">ROUND(D8/$B8*100,2)</f>
        <v>4.0199999999999996</v>
      </c>
      <c r="F8" s="1455">
        <f>SUM(F9:F16)</f>
        <v>50766</v>
      </c>
      <c r="G8" s="1453">
        <f t="shared" ref="G8:G27" si="2">ROUND(F8/$B8*100,2)</f>
        <v>9.31</v>
      </c>
      <c r="H8" s="1455">
        <f>SUM(H9:H16)</f>
        <v>65727</v>
      </c>
      <c r="I8" s="1453">
        <f t="shared" ref="I8:I27" si="3">ROUND(H8/$B8*100,2)</f>
        <v>12.06</v>
      </c>
      <c r="J8" s="1455">
        <f>SUM(J9:J16)</f>
        <v>406641</v>
      </c>
      <c r="K8" s="1453">
        <f t="shared" ref="K8:K27" si="4">ROUND(J8/$B8*100,2)</f>
        <v>74.61</v>
      </c>
      <c r="L8" s="352"/>
      <c r="M8" s="365" t="s">
        <v>24</v>
      </c>
      <c r="N8" s="367">
        <f>SUM(N9:N16)</f>
        <v>433656</v>
      </c>
      <c r="O8" s="366">
        <f t="shared" ref="O8:O56" si="5">ROUND(N8/$T8*100,2)</f>
        <v>29.1</v>
      </c>
      <c r="P8" s="367">
        <f>SUM(P9:P16)</f>
        <v>111373</v>
      </c>
      <c r="Q8" s="366">
        <f t="shared" ref="Q8:Q55" si="6">ROUND(P8/$T8*100,2)</f>
        <v>7.47</v>
      </c>
      <c r="R8" s="367">
        <f>SUM(R9:R16)</f>
        <v>945313</v>
      </c>
      <c r="S8" s="366">
        <f t="shared" ref="S8:S56" si="7">ROUND(R8/$T8*100,2)</f>
        <v>63.43</v>
      </c>
      <c r="T8" s="368">
        <f>SUM(R8,P8,N8)</f>
        <v>1490342</v>
      </c>
    </row>
    <row r="9" spans="1:20" ht="18" customHeight="1">
      <c r="A9" s="369" t="s">
        <v>757</v>
      </c>
      <c r="B9" s="39">
        <v>67981</v>
      </c>
      <c r="C9" s="371">
        <f t="shared" si="0"/>
        <v>38.58</v>
      </c>
      <c r="D9" s="39">
        <v>2320</v>
      </c>
      <c r="E9" s="279">
        <f t="shared" si="1"/>
        <v>3.41</v>
      </c>
      <c r="F9" s="39">
        <v>2894</v>
      </c>
      <c r="G9" s="279">
        <f t="shared" si="2"/>
        <v>4.26</v>
      </c>
      <c r="H9" s="39">
        <v>4080</v>
      </c>
      <c r="I9" s="279">
        <f t="shared" si="3"/>
        <v>6</v>
      </c>
      <c r="J9" s="39">
        <v>58687</v>
      </c>
      <c r="K9" s="371">
        <f t="shared" si="4"/>
        <v>86.33</v>
      </c>
      <c r="L9" s="554"/>
      <c r="M9" s="375" t="s">
        <v>757</v>
      </c>
      <c r="N9" s="39">
        <v>57987</v>
      </c>
      <c r="O9" s="371">
        <f t="shared" si="5"/>
        <v>32.909999999999997</v>
      </c>
      <c r="P9" s="39">
        <v>9994</v>
      </c>
      <c r="Q9" s="371">
        <f t="shared" si="6"/>
        <v>5.67</v>
      </c>
      <c r="R9" s="39">
        <v>108222</v>
      </c>
      <c r="S9" s="371">
        <f t="shared" si="7"/>
        <v>61.42</v>
      </c>
      <c r="T9" s="374">
        <f t="shared" ref="T9:T55" si="8">SUM(R9,P9,N9)</f>
        <v>176203</v>
      </c>
    </row>
    <row r="10" spans="1:20" ht="18" customHeight="1">
      <c r="A10" s="375" t="s">
        <v>1214</v>
      </c>
      <c r="B10" s="39">
        <v>84240</v>
      </c>
      <c r="C10" s="371">
        <f t="shared" si="0"/>
        <v>36.25</v>
      </c>
      <c r="D10" s="39">
        <v>8342</v>
      </c>
      <c r="E10" s="279">
        <f t="shared" si="1"/>
        <v>9.9</v>
      </c>
      <c r="F10" s="39">
        <v>15687</v>
      </c>
      <c r="G10" s="279">
        <f t="shared" si="2"/>
        <v>18.62</v>
      </c>
      <c r="H10" s="39">
        <v>13718</v>
      </c>
      <c r="I10" s="77">
        <f t="shared" si="3"/>
        <v>16.28</v>
      </c>
      <c r="J10" s="39">
        <v>46493</v>
      </c>
      <c r="K10" s="371">
        <f t="shared" si="4"/>
        <v>55.19</v>
      </c>
      <c r="L10" s="554"/>
      <c r="M10" s="375" t="s">
        <v>1214</v>
      </c>
      <c r="N10" s="39">
        <v>62132</v>
      </c>
      <c r="O10" s="371">
        <f t="shared" si="5"/>
        <v>26.74</v>
      </c>
      <c r="P10" s="39">
        <v>22108</v>
      </c>
      <c r="Q10" s="371">
        <f t="shared" si="6"/>
        <v>9.51</v>
      </c>
      <c r="R10" s="39">
        <v>148125</v>
      </c>
      <c r="S10" s="371">
        <f t="shared" si="7"/>
        <v>63.75</v>
      </c>
      <c r="T10" s="374">
        <f t="shared" si="8"/>
        <v>232365</v>
      </c>
    </row>
    <row r="11" spans="1:20" ht="18" customHeight="1">
      <c r="A11" s="375" t="s">
        <v>1211</v>
      </c>
      <c r="B11" s="39">
        <v>80365</v>
      </c>
      <c r="C11" s="371">
        <f t="shared" si="0"/>
        <v>37.46</v>
      </c>
      <c r="D11" s="39">
        <v>4787</v>
      </c>
      <c r="E11" s="279">
        <f t="shared" si="1"/>
        <v>5.96</v>
      </c>
      <c r="F11" s="39">
        <v>10297</v>
      </c>
      <c r="G11" s="279">
        <f t="shared" si="2"/>
        <v>12.81</v>
      </c>
      <c r="H11" s="39">
        <v>13705</v>
      </c>
      <c r="I11" s="77">
        <f t="shared" si="3"/>
        <v>17.05</v>
      </c>
      <c r="J11" s="39">
        <v>51576</v>
      </c>
      <c r="K11" s="371">
        <f t="shared" si="4"/>
        <v>64.180000000000007</v>
      </c>
      <c r="L11" s="554"/>
      <c r="M11" s="375" t="s">
        <v>1211</v>
      </c>
      <c r="N11" s="39">
        <v>62827</v>
      </c>
      <c r="O11" s="371">
        <f t="shared" si="5"/>
        <v>29.29</v>
      </c>
      <c r="P11" s="39">
        <v>17538</v>
      </c>
      <c r="Q11" s="371">
        <f t="shared" si="6"/>
        <v>8.18</v>
      </c>
      <c r="R11" s="39">
        <v>134166</v>
      </c>
      <c r="S11" s="371">
        <f t="shared" si="7"/>
        <v>62.54</v>
      </c>
      <c r="T11" s="374">
        <f t="shared" si="8"/>
        <v>214531</v>
      </c>
    </row>
    <row r="12" spans="1:20" ht="18" customHeight="1">
      <c r="A12" s="375" t="s">
        <v>1212</v>
      </c>
      <c r="B12" s="39">
        <v>40330</v>
      </c>
      <c r="C12" s="371">
        <f t="shared" si="0"/>
        <v>35.72</v>
      </c>
      <c r="D12" s="39">
        <v>1140</v>
      </c>
      <c r="E12" s="279">
        <f t="shared" si="1"/>
        <v>2.83</v>
      </c>
      <c r="F12" s="39">
        <v>4762</v>
      </c>
      <c r="G12" s="279">
        <f t="shared" si="2"/>
        <v>11.81</v>
      </c>
      <c r="H12" s="39">
        <v>4772</v>
      </c>
      <c r="I12" s="77">
        <f t="shared" si="3"/>
        <v>11.83</v>
      </c>
      <c r="J12" s="39">
        <v>29656</v>
      </c>
      <c r="K12" s="371">
        <f t="shared" si="4"/>
        <v>73.53</v>
      </c>
      <c r="L12" s="554"/>
      <c r="M12" s="375" t="s">
        <v>1212</v>
      </c>
      <c r="N12" s="39">
        <v>29476</v>
      </c>
      <c r="O12" s="371">
        <f t="shared" si="5"/>
        <v>26.11</v>
      </c>
      <c r="P12" s="39">
        <v>10854</v>
      </c>
      <c r="Q12" s="371">
        <f t="shared" si="6"/>
        <v>9.61</v>
      </c>
      <c r="R12" s="39">
        <v>72578</v>
      </c>
      <c r="S12" s="371">
        <f t="shared" si="7"/>
        <v>64.28</v>
      </c>
      <c r="T12" s="374">
        <f t="shared" si="8"/>
        <v>112908</v>
      </c>
    </row>
    <row r="13" spans="1:20" ht="18" customHeight="1">
      <c r="A13" s="375" t="s">
        <v>1213</v>
      </c>
      <c r="B13" s="39">
        <v>69542</v>
      </c>
      <c r="C13" s="371">
        <f t="shared" si="0"/>
        <v>36.19</v>
      </c>
      <c r="D13" s="39">
        <v>3896</v>
      </c>
      <c r="E13" s="279">
        <f t="shared" si="1"/>
        <v>5.6</v>
      </c>
      <c r="F13" s="39">
        <v>16068</v>
      </c>
      <c r="G13" s="279">
        <f t="shared" si="2"/>
        <v>23.11</v>
      </c>
      <c r="H13" s="39">
        <v>9136</v>
      </c>
      <c r="I13" s="77">
        <f t="shared" si="3"/>
        <v>13.14</v>
      </c>
      <c r="J13" s="39">
        <v>40442</v>
      </c>
      <c r="K13" s="371">
        <f t="shared" si="4"/>
        <v>58.15</v>
      </c>
      <c r="L13" s="554"/>
      <c r="M13" s="375" t="s">
        <v>1213</v>
      </c>
      <c r="N13" s="39">
        <v>47820</v>
      </c>
      <c r="O13" s="371">
        <f t="shared" si="5"/>
        <v>24.89</v>
      </c>
      <c r="P13" s="39">
        <v>21722</v>
      </c>
      <c r="Q13" s="371">
        <f t="shared" si="6"/>
        <v>11.31</v>
      </c>
      <c r="R13" s="39">
        <v>122592</v>
      </c>
      <c r="S13" s="371">
        <f t="shared" si="7"/>
        <v>63.81</v>
      </c>
      <c r="T13" s="374">
        <f t="shared" si="8"/>
        <v>192134</v>
      </c>
    </row>
    <row r="14" spans="1:20" ht="18" customHeight="1">
      <c r="A14" s="375" t="s">
        <v>1215</v>
      </c>
      <c r="B14" s="39">
        <v>26065</v>
      </c>
      <c r="C14" s="371">
        <f t="shared" si="0"/>
        <v>33.92</v>
      </c>
      <c r="D14" s="39">
        <v>137</v>
      </c>
      <c r="E14" s="279">
        <f t="shared" si="1"/>
        <v>0.53</v>
      </c>
      <c r="F14" s="39">
        <v>146</v>
      </c>
      <c r="G14" s="279">
        <f t="shared" si="2"/>
        <v>0.56000000000000005</v>
      </c>
      <c r="H14" s="39">
        <v>618</v>
      </c>
      <c r="I14" s="77">
        <f t="shared" si="3"/>
        <v>2.37</v>
      </c>
      <c r="J14" s="39">
        <v>25164</v>
      </c>
      <c r="K14" s="371">
        <f t="shared" si="4"/>
        <v>96.54</v>
      </c>
      <c r="L14" s="554"/>
      <c r="M14" s="375" t="s">
        <v>1215</v>
      </c>
      <c r="N14" s="39">
        <v>22796</v>
      </c>
      <c r="O14" s="371">
        <f t="shared" si="5"/>
        <v>29.67</v>
      </c>
      <c r="P14" s="39">
        <v>3269</v>
      </c>
      <c r="Q14" s="371">
        <f t="shared" si="6"/>
        <v>4.25</v>
      </c>
      <c r="R14" s="39">
        <v>50772</v>
      </c>
      <c r="S14" s="371">
        <f t="shared" si="7"/>
        <v>66.08</v>
      </c>
      <c r="T14" s="374">
        <f t="shared" si="8"/>
        <v>76837</v>
      </c>
    </row>
    <row r="15" spans="1:20" ht="18" customHeight="1">
      <c r="A15" s="375" t="s">
        <v>1216</v>
      </c>
      <c r="B15" s="39">
        <v>163035</v>
      </c>
      <c r="C15" s="371">
        <f t="shared" si="0"/>
        <v>36.369999999999997</v>
      </c>
      <c r="D15" s="39">
        <v>1104</v>
      </c>
      <c r="E15" s="279">
        <f t="shared" si="1"/>
        <v>0.68</v>
      </c>
      <c r="F15" s="39">
        <v>659</v>
      </c>
      <c r="G15" s="279">
        <f t="shared" si="2"/>
        <v>0.4</v>
      </c>
      <c r="H15" s="39">
        <v>18857</v>
      </c>
      <c r="I15" s="77">
        <f t="shared" si="3"/>
        <v>11.57</v>
      </c>
      <c r="J15" s="39">
        <v>142415</v>
      </c>
      <c r="K15" s="371">
        <f t="shared" si="4"/>
        <v>87.35</v>
      </c>
      <c r="L15" s="554"/>
      <c r="M15" s="375" t="s">
        <v>1216</v>
      </c>
      <c r="N15" s="39">
        <v>141391</v>
      </c>
      <c r="O15" s="371">
        <f t="shared" si="5"/>
        <v>31.54</v>
      </c>
      <c r="P15" s="39">
        <v>21644</v>
      </c>
      <c r="Q15" s="371">
        <f t="shared" si="6"/>
        <v>4.83</v>
      </c>
      <c r="R15" s="39">
        <v>285282</v>
      </c>
      <c r="S15" s="371">
        <f t="shared" si="7"/>
        <v>63.63</v>
      </c>
      <c r="T15" s="374">
        <f t="shared" si="8"/>
        <v>448317</v>
      </c>
    </row>
    <row r="16" spans="1:20" ht="18" customHeight="1">
      <c r="A16" s="375" t="s">
        <v>1217</v>
      </c>
      <c r="B16" s="39">
        <v>13471</v>
      </c>
      <c r="C16" s="371">
        <f t="shared" si="0"/>
        <v>36.36</v>
      </c>
      <c r="D16" s="39">
        <v>169</v>
      </c>
      <c r="E16" s="279">
        <f t="shared" si="1"/>
        <v>1.25</v>
      </c>
      <c r="F16" s="39">
        <v>253</v>
      </c>
      <c r="G16" s="279">
        <f t="shared" si="2"/>
        <v>1.88</v>
      </c>
      <c r="H16" s="39">
        <v>841</v>
      </c>
      <c r="I16" s="77">
        <f t="shared" si="3"/>
        <v>6.24</v>
      </c>
      <c r="J16" s="39">
        <v>12208</v>
      </c>
      <c r="K16" s="371">
        <f t="shared" si="4"/>
        <v>90.62</v>
      </c>
      <c r="L16" s="554"/>
      <c r="M16" s="375" t="s">
        <v>1217</v>
      </c>
      <c r="N16" s="39">
        <v>9227</v>
      </c>
      <c r="O16" s="371">
        <f t="shared" si="5"/>
        <v>24.91</v>
      </c>
      <c r="P16" s="39">
        <v>4244</v>
      </c>
      <c r="Q16" s="371">
        <f t="shared" si="6"/>
        <v>11.46</v>
      </c>
      <c r="R16" s="39">
        <v>23576</v>
      </c>
      <c r="S16" s="371">
        <f t="shared" si="7"/>
        <v>63.64</v>
      </c>
      <c r="T16" s="374">
        <f t="shared" si="8"/>
        <v>37047</v>
      </c>
    </row>
    <row r="17" spans="1:20" ht="18" customHeight="1">
      <c r="A17" s="365" t="s">
        <v>314</v>
      </c>
      <c r="B17" s="343">
        <f>SUM(D17,F17,H17,J17)</f>
        <v>867731</v>
      </c>
      <c r="C17" s="366">
        <f t="shared" si="0"/>
        <v>36.21</v>
      </c>
      <c r="D17" s="367">
        <f>SUM(D18:D27)</f>
        <v>104052</v>
      </c>
      <c r="E17" s="366">
        <f t="shared" si="1"/>
        <v>11.99</v>
      </c>
      <c r="F17" s="170">
        <f>SUM(F18:F27)</f>
        <v>190361</v>
      </c>
      <c r="G17" s="366">
        <f t="shared" si="2"/>
        <v>21.94</v>
      </c>
      <c r="H17" s="170">
        <f>SUM(H18:H27)</f>
        <v>56904</v>
      </c>
      <c r="I17" s="366">
        <f t="shared" si="3"/>
        <v>6.56</v>
      </c>
      <c r="J17" s="170">
        <f>SUM(J18:J27)</f>
        <v>516414</v>
      </c>
      <c r="K17" s="366">
        <f t="shared" si="4"/>
        <v>59.51</v>
      </c>
      <c r="L17" s="352"/>
      <c r="M17" s="365" t="s">
        <v>314</v>
      </c>
      <c r="N17" s="367">
        <f>SUM(N18:N27)</f>
        <v>640012</v>
      </c>
      <c r="O17" s="366">
        <f>ROUND(N17/$T17*100,2)+0.01</f>
        <v>26.71</v>
      </c>
      <c r="P17" s="367">
        <f>SUM(P18:P27)</f>
        <v>227719</v>
      </c>
      <c r="Q17" s="366">
        <f>ROUND(P17/$T17*100,2)</f>
        <v>9.5</v>
      </c>
      <c r="R17" s="367">
        <f>SUM(R18:R27)</f>
        <v>1528915</v>
      </c>
      <c r="S17" s="366">
        <f>ROUND(R17/$T17*100,2)</f>
        <v>63.79</v>
      </c>
      <c r="T17" s="368">
        <f t="shared" si="8"/>
        <v>2396646</v>
      </c>
    </row>
    <row r="18" spans="1:20" ht="18" customHeight="1">
      <c r="A18" s="375" t="s">
        <v>1218</v>
      </c>
      <c r="B18" s="39">
        <v>82129</v>
      </c>
      <c r="C18" s="371">
        <f t="shared" si="0"/>
        <v>37.35</v>
      </c>
      <c r="D18" s="39">
        <v>8839</v>
      </c>
      <c r="E18" s="279">
        <f t="shared" si="1"/>
        <v>10.76</v>
      </c>
      <c r="F18" s="39">
        <v>10869</v>
      </c>
      <c r="G18" s="279">
        <f t="shared" si="2"/>
        <v>13.23</v>
      </c>
      <c r="H18" s="39">
        <v>3172</v>
      </c>
      <c r="I18" s="279">
        <f t="shared" si="3"/>
        <v>3.86</v>
      </c>
      <c r="J18" s="39">
        <v>59249</v>
      </c>
      <c r="K18" s="371">
        <f t="shared" si="4"/>
        <v>72.14</v>
      </c>
      <c r="L18" s="554"/>
      <c r="M18" s="375" t="s">
        <v>1218</v>
      </c>
      <c r="N18" s="39">
        <v>65382</v>
      </c>
      <c r="O18" s="371">
        <f t="shared" si="5"/>
        <v>29.74</v>
      </c>
      <c r="P18" s="39">
        <v>16747</v>
      </c>
      <c r="Q18" s="371">
        <f t="shared" si="6"/>
        <v>7.62</v>
      </c>
      <c r="R18" s="39">
        <v>137734</v>
      </c>
      <c r="S18" s="371">
        <f t="shared" si="7"/>
        <v>62.65</v>
      </c>
      <c r="T18" s="374">
        <f t="shared" si="8"/>
        <v>219863</v>
      </c>
    </row>
    <row r="19" spans="1:20" ht="18" customHeight="1">
      <c r="A19" s="163" t="s">
        <v>759</v>
      </c>
      <c r="B19" s="39">
        <v>89248</v>
      </c>
      <c r="C19" s="371">
        <f t="shared" si="0"/>
        <v>33.92</v>
      </c>
      <c r="D19" s="39">
        <v>7677</v>
      </c>
      <c r="E19" s="279">
        <f t="shared" si="1"/>
        <v>8.6</v>
      </c>
      <c r="F19" s="39">
        <v>22378</v>
      </c>
      <c r="G19" s="279">
        <f t="shared" si="2"/>
        <v>25.07</v>
      </c>
      <c r="H19" s="39">
        <v>8482</v>
      </c>
      <c r="I19" s="279">
        <f t="shared" si="3"/>
        <v>9.5</v>
      </c>
      <c r="J19" s="39">
        <v>50711</v>
      </c>
      <c r="K19" s="371">
        <f t="shared" si="4"/>
        <v>56.82</v>
      </c>
      <c r="L19" s="554"/>
      <c r="M19" s="163" t="s">
        <v>759</v>
      </c>
      <c r="N19" s="39">
        <v>62654</v>
      </c>
      <c r="O19" s="371">
        <f t="shared" si="5"/>
        <v>23.81</v>
      </c>
      <c r="P19" s="39">
        <v>26594</v>
      </c>
      <c r="Q19" s="371">
        <f t="shared" si="6"/>
        <v>10.11</v>
      </c>
      <c r="R19" s="39">
        <v>173903</v>
      </c>
      <c r="S19" s="371">
        <f t="shared" si="7"/>
        <v>66.08</v>
      </c>
      <c r="T19" s="374">
        <f t="shared" si="8"/>
        <v>263151</v>
      </c>
    </row>
    <row r="20" spans="1:20" ht="18" customHeight="1">
      <c r="A20" s="163" t="s">
        <v>760</v>
      </c>
      <c r="B20" s="39">
        <v>93240</v>
      </c>
      <c r="C20" s="371">
        <f t="shared" si="0"/>
        <v>36.979999999999997</v>
      </c>
      <c r="D20" s="39">
        <v>14804</v>
      </c>
      <c r="E20" s="279">
        <f t="shared" si="1"/>
        <v>15.88</v>
      </c>
      <c r="F20" s="39">
        <v>33952</v>
      </c>
      <c r="G20" s="279">
        <f t="shared" si="2"/>
        <v>36.409999999999997</v>
      </c>
      <c r="H20" s="39">
        <v>12219</v>
      </c>
      <c r="I20" s="279">
        <f t="shared" si="3"/>
        <v>13.1</v>
      </c>
      <c r="J20" s="39">
        <v>32265</v>
      </c>
      <c r="K20" s="371">
        <f t="shared" si="4"/>
        <v>34.6</v>
      </c>
      <c r="L20" s="554"/>
      <c r="M20" s="163" t="s">
        <v>760</v>
      </c>
      <c r="N20" s="39">
        <v>55200</v>
      </c>
      <c r="O20" s="371">
        <f t="shared" si="5"/>
        <v>21.89</v>
      </c>
      <c r="P20" s="39">
        <v>38040</v>
      </c>
      <c r="Q20" s="371">
        <f t="shared" si="6"/>
        <v>15.09</v>
      </c>
      <c r="R20" s="39">
        <v>158924</v>
      </c>
      <c r="S20" s="371">
        <f t="shared" si="7"/>
        <v>63.02</v>
      </c>
      <c r="T20" s="374">
        <f t="shared" si="8"/>
        <v>252164</v>
      </c>
    </row>
    <row r="21" spans="1:20" ht="18" customHeight="1">
      <c r="A21" s="163" t="s">
        <v>1194</v>
      </c>
      <c r="B21" s="39">
        <v>87670</v>
      </c>
      <c r="C21" s="371">
        <f t="shared" si="0"/>
        <v>38.270000000000003</v>
      </c>
      <c r="D21" s="39">
        <v>18079</v>
      </c>
      <c r="E21" s="279">
        <f t="shared" si="1"/>
        <v>20.62</v>
      </c>
      <c r="F21" s="39">
        <v>40177</v>
      </c>
      <c r="G21" s="279">
        <f t="shared" si="2"/>
        <v>45.83</v>
      </c>
      <c r="H21" s="39">
        <v>8689</v>
      </c>
      <c r="I21" s="279">
        <f t="shared" si="3"/>
        <v>9.91</v>
      </c>
      <c r="J21" s="39">
        <v>20725</v>
      </c>
      <c r="K21" s="371">
        <f t="shared" si="4"/>
        <v>23.64</v>
      </c>
      <c r="L21" s="554"/>
      <c r="M21" s="163" t="s">
        <v>1194</v>
      </c>
      <c r="N21" s="39">
        <v>48976</v>
      </c>
      <c r="O21" s="371">
        <f t="shared" si="5"/>
        <v>21.38</v>
      </c>
      <c r="P21" s="39">
        <v>38694</v>
      </c>
      <c r="Q21" s="371">
        <f t="shared" si="6"/>
        <v>16.89</v>
      </c>
      <c r="R21" s="39">
        <v>141383</v>
      </c>
      <c r="S21" s="371">
        <f t="shared" si="7"/>
        <v>61.73</v>
      </c>
      <c r="T21" s="374">
        <f t="shared" si="8"/>
        <v>229053</v>
      </c>
    </row>
    <row r="22" spans="1:20" ht="18" customHeight="1">
      <c r="A22" s="163" t="s">
        <v>1221</v>
      </c>
      <c r="B22" s="39">
        <v>154596</v>
      </c>
      <c r="C22" s="371">
        <f t="shared" si="0"/>
        <v>35.69</v>
      </c>
      <c r="D22" s="39">
        <v>16671</v>
      </c>
      <c r="E22" s="279">
        <f t="shared" si="1"/>
        <v>10.78</v>
      </c>
      <c r="F22" s="39">
        <v>34014</v>
      </c>
      <c r="G22" s="279">
        <f t="shared" si="2"/>
        <v>22</v>
      </c>
      <c r="H22" s="39">
        <v>8327</v>
      </c>
      <c r="I22" s="279">
        <f t="shared" si="3"/>
        <v>5.39</v>
      </c>
      <c r="J22" s="39">
        <v>95584</v>
      </c>
      <c r="K22" s="371">
        <f t="shared" si="4"/>
        <v>61.83</v>
      </c>
      <c r="L22" s="554"/>
      <c r="M22" s="163" t="s">
        <v>1221</v>
      </c>
      <c r="N22" s="39">
        <v>113745</v>
      </c>
      <c r="O22" s="371">
        <f t="shared" si="5"/>
        <v>26.26</v>
      </c>
      <c r="P22" s="39">
        <v>40851</v>
      </c>
      <c r="Q22" s="371">
        <f t="shared" si="6"/>
        <v>9.43</v>
      </c>
      <c r="R22" s="39">
        <v>278523</v>
      </c>
      <c r="S22" s="371">
        <f t="shared" si="7"/>
        <v>64.31</v>
      </c>
      <c r="T22" s="374">
        <f t="shared" si="8"/>
        <v>433119</v>
      </c>
    </row>
    <row r="23" spans="1:20" ht="18" customHeight="1">
      <c r="A23" s="163" t="s">
        <v>761</v>
      </c>
      <c r="B23" s="39">
        <v>81616</v>
      </c>
      <c r="C23" s="371">
        <f t="shared" si="0"/>
        <v>32.76</v>
      </c>
      <c r="D23" s="39">
        <v>16498</v>
      </c>
      <c r="E23" s="279">
        <f t="shared" si="1"/>
        <v>20.21</v>
      </c>
      <c r="F23" s="39">
        <v>24173</v>
      </c>
      <c r="G23" s="279">
        <f t="shared" si="2"/>
        <v>29.62</v>
      </c>
      <c r="H23" s="39">
        <v>4011</v>
      </c>
      <c r="I23" s="279">
        <f t="shared" si="3"/>
        <v>4.91</v>
      </c>
      <c r="J23" s="39">
        <v>36934</v>
      </c>
      <c r="K23" s="371">
        <f t="shared" si="4"/>
        <v>45.25</v>
      </c>
      <c r="L23" s="554"/>
      <c r="M23" s="163" t="s">
        <v>761</v>
      </c>
      <c r="N23" s="39">
        <v>65917</v>
      </c>
      <c r="O23" s="371">
        <f t="shared" si="5"/>
        <v>26.45</v>
      </c>
      <c r="P23" s="39">
        <v>15699</v>
      </c>
      <c r="Q23" s="371">
        <f t="shared" si="6"/>
        <v>6.3</v>
      </c>
      <c r="R23" s="39">
        <v>167554</v>
      </c>
      <c r="S23" s="371">
        <f t="shared" si="7"/>
        <v>67.239999999999995</v>
      </c>
      <c r="T23" s="374">
        <f t="shared" si="8"/>
        <v>249170</v>
      </c>
    </row>
    <row r="24" spans="1:20" ht="18" customHeight="1">
      <c r="A24" s="163" t="s">
        <v>762</v>
      </c>
      <c r="B24" s="39">
        <v>84553</v>
      </c>
      <c r="C24" s="371">
        <f t="shared" si="0"/>
        <v>34.270000000000003</v>
      </c>
      <c r="D24" s="39">
        <v>19646</v>
      </c>
      <c r="E24" s="279">
        <f t="shared" si="1"/>
        <v>23.24</v>
      </c>
      <c r="F24" s="39">
        <v>22858</v>
      </c>
      <c r="G24" s="279">
        <f t="shared" si="2"/>
        <v>27.03</v>
      </c>
      <c r="H24" s="39">
        <v>5754</v>
      </c>
      <c r="I24" s="279">
        <f t="shared" si="3"/>
        <v>6.81</v>
      </c>
      <c r="J24" s="39">
        <v>36295</v>
      </c>
      <c r="K24" s="371">
        <f t="shared" si="4"/>
        <v>42.93</v>
      </c>
      <c r="L24" s="554"/>
      <c r="M24" s="163" t="s">
        <v>762</v>
      </c>
      <c r="N24" s="39">
        <v>67341</v>
      </c>
      <c r="O24" s="371">
        <f t="shared" si="5"/>
        <v>27.3</v>
      </c>
      <c r="P24" s="39">
        <v>17212</v>
      </c>
      <c r="Q24" s="371">
        <f t="shared" si="6"/>
        <v>6.98</v>
      </c>
      <c r="R24" s="39">
        <v>162155</v>
      </c>
      <c r="S24" s="371">
        <f t="shared" si="7"/>
        <v>65.73</v>
      </c>
      <c r="T24" s="374">
        <f t="shared" si="8"/>
        <v>246708</v>
      </c>
    </row>
    <row r="25" spans="1:20" ht="18" customHeight="1">
      <c r="A25" s="163" t="s">
        <v>836</v>
      </c>
      <c r="B25" s="39">
        <v>9074</v>
      </c>
      <c r="C25" s="371">
        <f t="shared" si="0"/>
        <v>35.01</v>
      </c>
      <c r="D25" s="39">
        <v>251</v>
      </c>
      <c r="E25" s="279">
        <f t="shared" si="1"/>
        <v>2.77</v>
      </c>
      <c r="F25" s="39">
        <v>153</v>
      </c>
      <c r="G25" s="279">
        <f t="shared" si="2"/>
        <v>1.69</v>
      </c>
      <c r="H25" s="39">
        <v>259</v>
      </c>
      <c r="I25" s="279">
        <f t="shared" si="3"/>
        <v>2.85</v>
      </c>
      <c r="J25" s="39">
        <v>8411</v>
      </c>
      <c r="K25" s="371">
        <f t="shared" si="4"/>
        <v>92.69</v>
      </c>
      <c r="L25" s="554"/>
      <c r="M25" s="163" t="s">
        <v>836</v>
      </c>
      <c r="N25" s="39">
        <v>7305</v>
      </c>
      <c r="O25" s="371">
        <f t="shared" si="5"/>
        <v>28.18</v>
      </c>
      <c r="P25" s="39">
        <v>1769</v>
      </c>
      <c r="Q25" s="371">
        <f t="shared" si="6"/>
        <v>6.82</v>
      </c>
      <c r="R25" s="39">
        <v>16848</v>
      </c>
      <c r="S25" s="371">
        <f t="shared" si="7"/>
        <v>64.989999999999995</v>
      </c>
      <c r="T25" s="374">
        <f t="shared" si="8"/>
        <v>25922</v>
      </c>
    </row>
    <row r="26" spans="1:20" ht="18" customHeight="1">
      <c r="A26" s="163" t="s">
        <v>1222</v>
      </c>
      <c r="B26" s="39">
        <v>19276</v>
      </c>
      <c r="C26" s="371">
        <f t="shared" si="0"/>
        <v>36.28</v>
      </c>
      <c r="D26" s="39">
        <v>214</v>
      </c>
      <c r="E26" s="279">
        <f t="shared" si="1"/>
        <v>1.1100000000000001</v>
      </c>
      <c r="F26" s="39">
        <v>124</v>
      </c>
      <c r="G26" s="279">
        <f t="shared" si="2"/>
        <v>0.64</v>
      </c>
      <c r="H26" s="39">
        <v>341</v>
      </c>
      <c r="I26" s="279">
        <f t="shared" si="3"/>
        <v>1.77</v>
      </c>
      <c r="J26" s="39">
        <v>18597</v>
      </c>
      <c r="K26" s="371">
        <f t="shared" si="4"/>
        <v>96.48</v>
      </c>
      <c r="L26" s="554"/>
      <c r="M26" s="163" t="s">
        <v>1222</v>
      </c>
      <c r="N26" s="39">
        <v>17374</v>
      </c>
      <c r="O26" s="371">
        <f t="shared" si="5"/>
        <v>32.700000000000003</v>
      </c>
      <c r="P26" s="39">
        <v>1902</v>
      </c>
      <c r="Q26" s="371">
        <f t="shared" si="6"/>
        <v>3.58</v>
      </c>
      <c r="R26" s="39">
        <v>33852</v>
      </c>
      <c r="S26" s="371">
        <f t="shared" si="7"/>
        <v>63.72</v>
      </c>
      <c r="T26" s="374">
        <f t="shared" si="8"/>
        <v>53128</v>
      </c>
    </row>
    <row r="27" spans="1:20" ht="18" customHeight="1">
      <c r="A27" s="378" t="s">
        <v>1736</v>
      </c>
      <c r="B27" s="25">
        <v>166329</v>
      </c>
      <c r="C27" s="381">
        <f t="shared" si="0"/>
        <v>39.19</v>
      </c>
      <c r="D27" s="25">
        <v>1373</v>
      </c>
      <c r="E27" s="538">
        <f t="shared" si="1"/>
        <v>0.83</v>
      </c>
      <c r="F27" s="25">
        <v>1663</v>
      </c>
      <c r="G27" s="538">
        <f t="shared" si="2"/>
        <v>1</v>
      </c>
      <c r="H27" s="25">
        <v>5650</v>
      </c>
      <c r="I27" s="538">
        <f t="shared" si="3"/>
        <v>3.4</v>
      </c>
      <c r="J27" s="25">
        <v>157643</v>
      </c>
      <c r="K27" s="381">
        <f t="shared" si="4"/>
        <v>94.78</v>
      </c>
      <c r="L27" s="554"/>
      <c r="M27" s="378" t="s">
        <v>1736</v>
      </c>
      <c r="N27" s="25">
        <v>136118</v>
      </c>
      <c r="O27" s="381">
        <f t="shared" si="5"/>
        <v>32.08</v>
      </c>
      <c r="P27" s="25">
        <v>30211</v>
      </c>
      <c r="Q27" s="381">
        <f t="shared" si="6"/>
        <v>7.12</v>
      </c>
      <c r="R27" s="25">
        <v>258039</v>
      </c>
      <c r="S27" s="381">
        <f t="shared" si="7"/>
        <v>60.81</v>
      </c>
      <c r="T27" s="444">
        <f t="shared" si="8"/>
        <v>424368</v>
      </c>
    </row>
    <row r="28" spans="1:20" ht="12.75" customHeight="1">
      <c r="A28" s="284"/>
      <c r="B28" s="370"/>
      <c r="C28" s="554"/>
      <c r="D28" s="372"/>
      <c r="E28" s="554"/>
      <c r="F28" s="372"/>
      <c r="G28" s="554"/>
      <c r="H28" s="372"/>
      <c r="I28" s="554"/>
      <c r="J28" s="372"/>
      <c r="K28" s="897" t="s">
        <v>678</v>
      </c>
      <c r="L28" s="554"/>
      <c r="M28" s="284"/>
      <c r="N28" s="372"/>
      <c r="O28" s="554"/>
      <c r="P28" s="372"/>
      <c r="Q28" s="554"/>
      <c r="R28" s="372"/>
      <c r="S28" s="554"/>
      <c r="T28" s="897" t="s">
        <v>678</v>
      </c>
    </row>
    <row r="29" spans="1:20" ht="15" customHeight="1">
      <c r="A29" s="1708" t="s">
        <v>563</v>
      </c>
      <c r="B29" s="1708"/>
      <c r="C29" s="1708"/>
      <c r="D29" s="1708"/>
      <c r="E29" s="1708"/>
      <c r="F29" s="1708"/>
      <c r="G29" s="1708"/>
      <c r="H29" s="1708"/>
      <c r="I29" s="1708"/>
      <c r="J29" s="1708"/>
      <c r="K29" s="1708"/>
      <c r="L29" s="567"/>
      <c r="M29" s="1708" t="s">
        <v>565</v>
      </c>
      <c r="N29" s="1708"/>
      <c r="O29" s="1708"/>
      <c r="P29" s="1708"/>
      <c r="Q29" s="1708"/>
      <c r="R29" s="1708"/>
      <c r="S29" s="1708"/>
      <c r="T29" s="1708"/>
    </row>
    <row r="30" spans="1:20" ht="14.25" customHeight="1">
      <c r="B30" s="11"/>
      <c r="C30" s="11"/>
      <c r="D30" s="11"/>
      <c r="E30" s="11"/>
      <c r="F30" s="11"/>
      <c r="G30" s="11"/>
      <c r="H30" s="11"/>
      <c r="I30" s="11"/>
      <c r="J30" s="11"/>
      <c r="K30" s="95" t="s">
        <v>489</v>
      </c>
      <c r="L30" s="92"/>
      <c r="N30" s="11"/>
      <c r="O30" s="11"/>
      <c r="P30" s="11"/>
      <c r="Q30" s="11"/>
      <c r="R30" s="11"/>
      <c r="S30" s="11"/>
      <c r="T30" s="95" t="s">
        <v>489</v>
      </c>
    </row>
    <row r="31" spans="1:20" ht="14.25" customHeight="1">
      <c r="A31" s="1737" t="s">
        <v>1698</v>
      </c>
      <c r="B31" s="1790" t="s">
        <v>520</v>
      </c>
      <c r="C31" s="1789"/>
      <c r="D31" s="1788" t="s">
        <v>1069</v>
      </c>
      <c r="E31" s="1790"/>
      <c r="F31" s="1790"/>
      <c r="G31" s="1790"/>
      <c r="H31" s="1790"/>
      <c r="I31" s="1790"/>
      <c r="J31" s="1790"/>
      <c r="K31" s="1789"/>
      <c r="L31" s="783"/>
      <c r="M31" s="1737" t="s">
        <v>1698</v>
      </c>
      <c r="N31" s="1788" t="s">
        <v>1073</v>
      </c>
      <c r="O31" s="1789"/>
      <c r="P31" s="1788" t="s">
        <v>1074</v>
      </c>
      <c r="Q31" s="1789"/>
      <c r="R31" s="1788" t="s">
        <v>860</v>
      </c>
      <c r="S31" s="1789"/>
      <c r="T31" s="1737" t="s">
        <v>1075</v>
      </c>
    </row>
    <row r="32" spans="1:20" ht="18" customHeight="1">
      <c r="A32" s="1743"/>
      <c r="B32" s="1723" t="s">
        <v>1066</v>
      </c>
      <c r="C32" s="1733" t="s">
        <v>1036</v>
      </c>
      <c r="D32" s="1732" t="s">
        <v>1068</v>
      </c>
      <c r="E32" s="1714"/>
      <c r="F32" s="1786" t="s">
        <v>1070</v>
      </c>
      <c r="G32" s="1787"/>
      <c r="H32" s="1786" t="s">
        <v>1072</v>
      </c>
      <c r="I32" s="1787"/>
      <c r="J32" s="1732" t="s">
        <v>1071</v>
      </c>
      <c r="K32" s="1714"/>
      <c r="L32" s="336"/>
      <c r="M32" s="1743"/>
      <c r="N32" s="1723" t="s">
        <v>1066</v>
      </c>
      <c r="O32" s="1733" t="s">
        <v>1036</v>
      </c>
      <c r="P32" s="1723" t="s">
        <v>1066</v>
      </c>
      <c r="Q32" s="1733" t="s">
        <v>1036</v>
      </c>
      <c r="R32" s="1723" t="s">
        <v>1066</v>
      </c>
      <c r="S32" s="1733" t="s">
        <v>1036</v>
      </c>
      <c r="T32" s="1743"/>
    </row>
    <row r="33" spans="1:20" ht="14.25" customHeight="1">
      <c r="A33" s="1738"/>
      <c r="B33" s="1725"/>
      <c r="C33" s="1735"/>
      <c r="D33" s="448" t="s">
        <v>839</v>
      </c>
      <c r="E33" s="648" t="s">
        <v>1067</v>
      </c>
      <c r="F33" s="448" t="s">
        <v>839</v>
      </c>
      <c r="G33" s="648" t="s">
        <v>1067</v>
      </c>
      <c r="H33" s="448" t="s">
        <v>839</v>
      </c>
      <c r="I33" s="648" t="s">
        <v>1067</v>
      </c>
      <c r="J33" s="448" t="s">
        <v>839</v>
      </c>
      <c r="K33" s="648" t="s">
        <v>1067</v>
      </c>
      <c r="L33" s="784"/>
      <c r="M33" s="1738"/>
      <c r="N33" s="1725"/>
      <c r="O33" s="1735"/>
      <c r="P33" s="1725"/>
      <c r="Q33" s="1735"/>
      <c r="R33" s="1725"/>
      <c r="S33" s="1735"/>
      <c r="T33" s="1738"/>
    </row>
    <row r="34" spans="1:20" ht="14.25" customHeight="1">
      <c r="A34" s="359" t="s">
        <v>928</v>
      </c>
      <c r="B34" s="360" t="s">
        <v>929</v>
      </c>
      <c r="C34" s="361" t="s">
        <v>930</v>
      </c>
      <c r="D34" s="362" t="s">
        <v>931</v>
      </c>
      <c r="E34" s="361" t="s">
        <v>932</v>
      </c>
      <c r="F34" s="362" t="s">
        <v>933</v>
      </c>
      <c r="G34" s="361" t="s">
        <v>934</v>
      </c>
      <c r="H34" s="362" t="s">
        <v>959</v>
      </c>
      <c r="I34" s="361" t="s">
        <v>960</v>
      </c>
      <c r="J34" s="362" t="s">
        <v>961</v>
      </c>
      <c r="K34" s="361" t="s">
        <v>962</v>
      </c>
      <c r="L34" s="785"/>
      <c r="M34" s="359" t="s">
        <v>928</v>
      </c>
      <c r="N34" s="362" t="s">
        <v>1037</v>
      </c>
      <c r="O34" s="363" t="s">
        <v>1038</v>
      </c>
      <c r="P34" s="362" t="s">
        <v>1039</v>
      </c>
      <c r="Q34" s="363" t="s">
        <v>1040</v>
      </c>
      <c r="R34" s="362" t="s">
        <v>1041</v>
      </c>
      <c r="S34" s="363" t="s">
        <v>1042</v>
      </c>
      <c r="T34" s="364" t="s">
        <v>1044</v>
      </c>
    </row>
    <row r="35" spans="1:20" ht="18" customHeight="1">
      <c r="A35" s="349" t="s">
        <v>315</v>
      </c>
      <c r="B35" s="795">
        <f>SUM(D35,F35,H35,J35)</f>
        <v>435787</v>
      </c>
      <c r="C35" s="1453">
        <f t="shared" ref="C35:C56" si="9">ROUND(B35/$T35*100,2)</f>
        <v>38.21</v>
      </c>
      <c r="D35" s="1454">
        <f>SUM(D36:D39)</f>
        <v>71697</v>
      </c>
      <c r="E35" s="1453">
        <f t="shared" ref="E35:E56" si="10">ROUND(D35/$B35*100,2)</f>
        <v>16.45</v>
      </c>
      <c r="F35" s="1455">
        <f>SUM(F36:F39)</f>
        <v>194114</v>
      </c>
      <c r="G35" s="1453">
        <f t="shared" ref="G35:G56" si="11">ROUND(F35/$B35*100,2)</f>
        <v>44.54</v>
      </c>
      <c r="H35" s="1455">
        <f>SUM(H36:H39)</f>
        <v>33734</v>
      </c>
      <c r="I35" s="1453">
        <f t="shared" ref="I35:I56" si="12">ROUND(H35/$B35*100,2)</f>
        <v>7.74</v>
      </c>
      <c r="J35" s="1455">
        <f>SUM(J36:J39)</f>
        <v>136242</v>
      </c>
      <c r="K35" s="1453">
        <f>ROUND(J35/$B35*100,2)+0.01</f>
        <v>31.270000000000003</v>
      </c>
      <c r="L35" s="352"/>
      <c r="M35" s="349" t="s">
        <v>315</v>
      </c>
      <c r="N35" s="367">
        <f>SUM(N36:N39)</f>
        <v>238671</v>
      </c>
      <c r="O35" s="366">
        <f t="shared" si="5"/>
        <v>20.93</v>
      </c>
      <c r="P35" s="367">
        <f>SUM(P36:P39)</f>
        <v>197116</v>
      </c>
      <c r="Q35" s="366">
        <f t="shared" si="6"/>
        <v>17.28</v>
      </c>
      <c r="R35" s="367">
        <f>SUM(R36:R39)</f>
        <v>704775</v>
      </c>
      <c r="S35" s="366">
        <f t="shared" si="7"/>
        <v>61.79</v>
      </c>
      <c r="T35" s="368">
        <f t="shared" si="8"/>
        <v>1140562</v>
      </c>
    </row>
    <row r="36" spans="1:20" ht="18" customHeight="1">
      <c r="A36" s="163" t="s">
        <v>1223</v>
      </c>
      <c r="B36" s="261">
        <v>108848</v>
      </c>
      <c r="C36" s="371">
        <f t="shared" si="9"/>
        <v>35.72</v>
      </c>
      <c r="D36" s="39">
        <v>13339</v>
      </c>
      <c r="E36" s="77">
        <f t="shared" si="10"/>
        <v>12.25</v>
      </c>
      <c r="F36" s="39">
        <v>24571</v>
      </c>
      <c r="G36" s="77">
        <f t="shared" si="11"/>
        <v>22.57</v>
      </c>
      <c r="H36" s="39">
        <v>11721</v>
      </c>
      <c r="I36" s="77">
        <f t="shared" si="12"/>
        <v>10.77</v>
      </c>
      <c r="J36" s="39">
        <v>59217</v>
      </c>
      <c r="K36" s="371">
        <f t="shared" ref="K36:K55" si="13">ROUND(J36/$B36*100,2)</f>
        <v>54.4</v>
      </c>
      <c r="L36" s="554"/>
      <c r="M36" s="163" t="s">
        <v>1223</v>
      </c>
      <c r="N36" s="335">
        <v>73712</v>
      </c>
      <c r="O36" s="371">
        <f t="shared" si="5"/>
        <v>24.19</v>
      </c>
      <c r="P36" s="335">
        <v>35136</v>
      </c>
      <c r="Q36" s="371">
        <f t="shared" si="6"/>
        <v>11.53</v>
      </c>
      <c r="R36" s="335">
        <v>195876</v>
      </c>
      <c r="S36" s="371">
        <f t="shared" si="7"/>
        <v>64.28</v>
      </c>
      <c r="T36" s="374">
        <f t="shared" si="8"/>
        <v>304724</v>
      </c>
    </row>
    <row r="37" spans="1:20" ht="18" customHeight="1">
      <c r="A37" s="163" t="s">
        <v>1224</v>
      </c>
      <c r="B37" s="261">
        <v>83899</v>
      </c>
      <c r="C37" s="371">
        <f t="shared" si="9"/>
        <v>33.22</v>
      </c>
      <c r="D37" s="39">
        <v>12042</v>
      </c>
      <c r="E37" s="77">
        <f t="shared" si="10"/>
        <v>14.35</v>
      </c>
      <c r="F37" s="39">
        <v>47330</v>
      </c>
      <c r="G37" s="77">
        <f t="shared" si="11"/>
        <v>56.41</v>
      </c>
      <c r="H37" s="39">
        <v>3314</v>
      </c>
      <c r="I37" s="77">
        <f t="shared" si="12"/>
        <v>3.95</v>
      </c>
      <c r="J37" s="39">
        <v>21213</v>
      </c>
      <c r="K37" s="371">
        <f t="shared" si="13"/>
        <v>25.28</v>
      </c>
      <c r="L37" s="554"/>
      <c r="M37" s="163" t="s">
        <v>1224</v>
      </c>
      <c r="N37" s="335">
        <v>43939</v>
      </c>
      <c r="O37" s="371">
        <f t="shared" si="5"/>
        <v>17.399999999999999</v>
      </c>
      <c r="P37" s="335">
        <v>39960</v>
      </c>
      <c r="Q37" s="371">
        <f t="shared" si="6"/>
        <v>15.82</v>
      </c>
      <c r="R37" s="335">
        <v>168624</v>
      </c>
      <c r="S37" s="371">
        <f t="shared" si="7"/>
        <v>66.78</v>
      </c>
      <c r="T37" s="374">
        <f t="shared" si="8"/>
        <v>252523</v>
      </c>
    </row>
    <row r="38" spans="1:20" ht="18" customHeight="1">
      <c r="A38" s="163" t="s">
        <v>1197</v>
      </c>
      <c r="B38" s="261">
        <v>132044</v>
      </c>
      <c r="C38" s="371">
        <f t="shared" si="9"/>
        <v>39.22</v>
      </c>
      <c r="D38" s="39">
        <v>24402</v>
      </c>
      <c r="E38" s="77">
        <f t="shared" si="10"/>
        <v>18.48</v>
      </c>
      <c r="F38" s="39">
        <v>62102</v>
      </c>
      <c r="G38" s="77">
        <f t="shared" si="11"/>
        <v>47.03</v>
      </c>
      <c r="H38" s="39">
        <v>13772</v>
      </c>
      <c r="I38" s="77">
        <f t="shared" si="12"/>
        <v>10.43</v>
      </c>
      <c r="J38" s="39">
        <v>31768</v>
      </c>
      <c r="K38" s="371">
        <f t="shared" si="13"/>
        <v>24.06</v>
      </c>
      <c r="L38" s="554"/>
      <c r="M38" s="163" t="s">
        <v>1197</v>
      </c>
      <c r="N38" s="335">
        <v>70026</v>
      </c>
      <c r="O38" s="371">
        <f t="shared" si="5"/>
        <v>20.8</v>
      </c>
      <c r="P38" s="335">
        <v>62018</v>
      </c>
      <c r="Q38" s="371">
        <f t="shared" si="6"/>
        <v>18.420000000000002</v>
      </c>
      <c r="R38" s="335">
        <v>204673</v>
      </c>
      <c r="S38" s="371">
        <f t="shared" si="7"/>
        <v>60.78</v>
      </c>
      <c r="T38" s="374">
        <f t="shared" si="8"/>
        <v>336717</v>
      </c>
    </row>
    <row r="39" spans="1:20" ht="18" customHeight="1">
      <c r="A39" s="163" t="s">
        <v>1198</v>
      </c>
      <c r="B39" s="261">
        <v>110996</v>
      </c>
      <c r="C39" s="371">
        <f t="shared" si="9"/>
        <v>45.01</v>
      </c>
      <c r="D39" s="39">
        <v>21914</v>
      </c>
      <c r="E39" s="77">
        <f t="shared" si="10"/>
        <v>19.739999999999998</v>
      </c>
      <c r="F39" s="39">
        <v>60111</v>
      </c>
      <c r="G39" s="77">
        <f t="shared" si="11"/>
        <v>54.16</v>
      </c>
      <c r="H39" s="39">
        <v>4927</v>
      </c>
      <c r="I39" s="77">
        <f t="shared" si="12"/>
        <v>4.4400000000000004</v>
      </c>
      <c r="J39" s="39">
        <v>24044</v>
      </c>
      <c r="K39" s="371">
        <f t="shared" si="13"/>
        <v>21.66</v>
      </c>
      <c r="L39" s="554"/>
      <c r="M39" s="163" t="s">
        <v>1198</v>
      </c>
      <c r="N39" s="335">
        <v>50994</v>
      </c>
      <c r="O39" s="371">
        <f t="shared" si="5"/>
        <v>20.68</v>
      </c>
      <c r="P39" s="335">
        <v>60002</v>
      </c>
      <c r="Q39" s="371">
        <f t="shared" si="6"/>
        <v>24.33</v>
      </c>
      <c r="R39" s="335">
        <v>135602</v>
      </c>
      <c r="S39" s="371">
        <f t="shared" si="7"/>
        <v>54.99</v>
      </c>
      <c r="T39" s="374">
        <f t="shared" si="8"/>
        <v>246598</v>
      </c>
    </row>
    <row r="40" spans="1:20" ht="18" customHeight="1">
      <c r="A40" s="350" t="s">
        <v>25</v>
      </c>
      <c r="B40" s="268">
        <f>SUM(D40,F40,H40,J40)</f>
        <v>723503</v>
      </c>
      <c r="C40" s="366">
        <f t="shared" si="9"/>
        <v>34.04</v>
      </c>
      <c r="D40" s="367">
        <f>SUM(D41:D50)</f>
        <v>73455</v>
      </c>
      <c r="E40" s="366">
        <f t="shared" si="10"/>
        <v>10.15</v>
      </c>
      <c r="F40" s="170">
        <f>SUM(F41:F50)</f>
        <v>204029</v>
      </c>
      <c r="G40" s="366">
        <f t="shared" si="11"/>
        <v>28.2</v>
      </c>
      <c r="H40" s="170">
        <f>SUM(H41:H50)</f>
        <v>68659</v>
      </c>
      <c r="I40" s="366">
        <f t="shared" si="12"/>
        <v>9.49</v>
      </c>
      <c r="J40" s="170">
        <f>SUM(J41:J50)</f>
        <v>377360</v>
      </c>
      <c r="K40" s="366">
        <f t="shared" si="13"/>
        <v>52.16</v>
      </c>
      <c r="L40" s="352"/>
      <c r="M40" s="350" t="s">
        <v>25</v>
      </c>
      <c r="N40" s="367">
        <f>SUM(N41:N50)</f>
        <v>479537</v>
      </c>
      <c r="O40" s="366">
        <f t="shared" si="5"/>
        <v>22.56</v>
      </c>
      <c r="P40" s="367">
        <f>SUM(P41:P50)</f>
        <v>243966</v>
      </c>
      <c r="Q40" s="366">
        <f t="shared" si="6"/>
        <v>11.48</v>
      </c>
      <c r="R40" s="367">
        <f>SUM(R41:R50)</f>
        <v>1402255</v>
      </c>
      <c r="S40" s="366">
        <f t="shared" si="7"/>
        <v>65.959999999999994</v>
      </c>
      <c r="T40" s="368">
        <f t="shared" si="8"/>
        <v>2125758</v>
      </c>
    </row>
    <row r="41" spans="1:20" ht="18" customHeight="1">
      <c r="A41" s="163" t="s">
        <v>1225</v>
      </c>
      <c r="B41" s="261">
        <v>87140</v>
      </c>
      <c r="C41" s="371">
        <f t="shared" si="9"/>
        <v>32.33</v>
      </c>
      <c r="D41" s="39">
        <v>7306</v>
      </c>
      <c r="E41" s="77">
        <f t="shared" si="10"/>
        <v>8.3800000000000008</v>
      </c>
      <c r="F41" s="39">
        <v>18284</v>
      </c>
      <c r="G41" s="77">
        <f t="shared" si="11"/>
        <v>20.98</v>
      </c>
      <c r="H41" s="39">
        <v>14906</v>
      </c>
      <c r="I41" s="279">
        <f t="shared" si="12"/>
        <v>17.11</v>
      </c>
      <c r="J41" s="39">
        <v>46644</v>
      </c>
      <c r="K41" s="371">
        <f t="shared" si="13"/>
        <v>53.53</v>
      </c>
      <c r="L41" s="554"/>
      <c r="M41" s="163" t="s">
        <v>1225</v>
      </c>
      <c r="N41" s="335">
        <v>59300</v>
      </c>
      <c r="O41" s="371">
        <f t="shared" si="5"/>
        <v>22</v>
      </c>
      <c r="P41" s="335">
        <v>27840</v>
      </c>
      <c r="Q41" s="371">
        <f t="shared" si="6"/>
        <v>10.33</v>
      </c>
      <c r="R41" s="335">
        <v>182354</v>
      </c>
      <c r="S41" s="371">
        <f t="shared" si="7"/>
        <v>67.67</v>
      </c>
      <c r="T41" s="374">
        <f t="shared" si="8"/>
        <v>269494</v>
      </c>
    </row>
    <row r="42" spans="1:20" ht="18" customHeight="1">
      <c r="A42" s="163" t="s">
        <v>1226</v>
      </c>
      <c r="B42" s="261">
        <v>101966</v>
      </c>
      <c r="C42" s="371">
        <f t="shared" si="9"/>
        <v>33.46</v>
      </c>
      <c r="D42" s="39">
        <v>10145</v>
      </c>
      <c r="E42" s="77">
        <f t="shared" si="10"/>
        <v>9.9499999999999993</v>
      </c>
      <c r="F42" s="39">
        <v>21016</v>
      </c>
      <c r="G42" s="77">
        <f t="shared" si="11"/>
        <v>20.61</v>
      </c>
      <c r="H42" s="39">
        <v>14644</v>
      </c>
      <c r="I42" s="279">
        <f t="shared" si="12"/>
        <v>14.36</v>
      </c>
      <c r="J42" s="39">
        <v>56161</v>
      </c>
      <c r="K42" s="371">
        <f t="shared" si="13"/>
        <v>55.08</v>
      </c>
      <c r="L42" s="554"/>
      <c r="M42" s="163" t="s">
        <v>1226</v>
      </c>
      <c r="N42" s="335">
        <v>74759</v>
      </c>
      <c r="O42" s="371">
        <f t="shared" si="5"/>
        <v>24.53</v>
      </c>
      <c r="P42" s="335">
        <v>27207</v>
      </c>
      <c r="Q42" s="371">
        <f t="shared" si="6"/>
        <v>8.93</v>
      </c>
      <c r="R42" s="335">
        <v>202778</v>
      </c>
      <c r="S42" s="371">
        <f t="shared" si="7"/>
        <v>66.540000000000006</v>
      </c>
      <c r="T42" s="374">
        <f t="shared" si="8"/>
        <v>304744</v>
      </c>
    </row>
    <row r="43" spans="1:20" ht="18" customHeight="1">
      <c r="A43" s="163" t="s">
        <v>837</v>
      </c>
      <c r="B43" s="261">
        <v>70593</v>
      </c>
      <c r="C43" s="371">
        <f t="shared" si="9"/>
        <v>32.979999999999997</v>
      </c>
      <c r="D43" s="39">
        <v>6232</v>
      </c>
      <c r="E43" s="77">
        <f t="shared" si="10"/>
        <v>8.83</v>
      </c>
      <c r="F43" s="39">
        <v>19406</v>
      </c>
      <c r="G43" s="77">
        <f t="shared" si="11"/>
        <v>27.49</v>
      </c>
      <c r="H43" s="39">
        <v>4728</v>
      </c>
      <c r="I43" s="279">
        <f t="shared" si="12"/>
        <v>6.7</v>
      </c>
      <c r="J43" s="39">
        <v>40227</v>
      </c>
      <c r="K43" s="371">
        <f t="shared" si="13"/>
        <v>56.98</v>
      </c>
      <c r="L43" s="554"/>
      <c r="M43" s="163" t="s">
        <v>837</v>
      </c>
      <c r="N43" s="335">
        <v>43607</v>
      </c>
      <c r="O43" s="371">
        <f t="shared" si="5"/>
        <v>20.37</v>
      </c>
      <c r="P43" s="335">
        <v>26986</v>
      </c>
      <c r="Q43" s="371">
        <f t="shared" si="6"/>
        <v>12.61</v>
      </c>
      <c r="R43" s="335">
        <v>143457</v>
      </c>
      <c r="S43" s="371">
        <f t="shared" si="7"/>
        <v>67.02</v>
      </c>
      <c r="T43" s="374">
        <f t="shared" si="8"/>
        <v>214050</v>
      </c>
    </row>
    <row r="44" spans="1:20" ht="18" customHeight="1">
      <c r="A44" s="163" t="s">
        <v>1203</v>
      </c>
      <c r="B44" s="261">
        <v>93642</v>
      </c>
      <c r="C44" s="371">
        <f t="shared" si="9"/>
        <v>33.07</v>
      </c>
      <c r="D44" s="39">
        <v>8586</v>
      </c>
      <c r="E44" s="77">
        <f t="shared" si="10"/>
        <v>9.17</v>
      </c>
      <c r="F44" s="39">
        <v>35411</v>
      </c>
      <c r="G44" s="77">
        <f t="shared" si="11"/>
        <v>37.82</v>
      </c>
      <c r="H44" s="39">
        <v>8351</v>
      </c>
      <c r="I44" s="279">
        <f t="shared" si="12"/>
        <v>8.92</v>
      </c>
      <c r="J44" s="39">
        <v>41294</v>
      </c>
      <c r="K44" s="371">
        <f t="shared" si="13"/>
        <v>44.1</v>
      </c>
      <c r="L44" s="554"/>
      <c r="M44" s="163" t="s">
        <v>1203</v>
      </c>
      <c r="N44" s="335">
        <v>54112</v>
      </c>
      <c r="O44" s="371">
        <f t="shared" si="5"/>
        <v>19.11</v>
      </c>
      <c r="P44" s="335">
        <v>39530</v>
      </c>
      <c r="Q44" s="371">
        <f t="shared" si="6"/>
        <v>13.96</v>
      </c>
      <c r="R44" s="335">
        <v>189555</v>
      </c>
      <c r="S44" s="371">
        <f t="shared" si="7"/>
        <v>66.930000000000007</v>
      </c>
      <c r="T44" s="374">
        <f t="shared" si="8"/>
        <v>283197</v>
      </c>
    </row>
    <row r="45" spans="1:20" ht="18" customHeight="1">
      <c r="A45" s="163" t="s">
        <v>1204</v>
      </c>
      <c r="B45" s="261">
        <v>88608</v>
      </c>
      <c r="C45" s="371">
        <f t="shared" si="9"/>
        <v>35.51</v>
      </c>
      <c r="D45" s="39">
        <v>8046</v>
      </c>
      <c r="E45" s="77">
        <f t="shared" si="10"/>
        <v>9.08</v>
      </c>
      <c r="F45" s="39">
        <v>24712</v>
      </c>
      <c r="G45" s="77">
        <f t="shared" si="11"/>
        <v>27.89</v>
      </c>
      <c r="H45" s="39">
        <v>7578</v>
      </c>
      <c r="I45" s="279">
        <f t="shared" si="12"/>
        <v>8.5500000000000007</v>
      </c>
      <c r="J45" s="39">
        <v>48272</v>
      </c>
      <c r="K45" s="371">
        <f t="shared" si="13"/>
        <v>54.48</v>
      </c>
      <c r="L45" s="554"/>
      <c r="M45" s="163" t="s">
        <v>1204</v>
      </c>
      <c r="N45" s="335">
        <v>64042</v>
      </c>
      <c r="O45" s="371">
        <f t="shared" si="5"/>
        <v>25.66</v>
      </c>
      <c r="P45" s="335">
        <v>24566</v>
      </c>
      <c r="Q45" s="371">
        <f t="shared" si="6"/>
        <v>9.84</v>
      </c>
      <c r="R45" s="335">
        <v>160953</v>
      </c>
      <c r="S45" s="371">
        <f t="shared" si="7"/>
        <v>64.489999999999995</v>
      </c>
      <c r="T45" s="374">
        <f t="shared" si="8"/>
        <v>249561</v>
      </c>
    </row>
    <row r="46" spans="1:20" ht="18" customHeight="1">
      <c r="A46" s="163" t="s">
        <v>1744</v>
      </c>
      <c r="B46" s="261">
        <v>52385</v>
      </c>
      <c r="C46" s="371">
        <f t="shared" si="9"/>
        <v>33.54</v>
      </c>
      <c r="D46" s="39">
        <v>3601</v>
      </c>
      <c r="E46" s="77">
        <f t="shared" si="10"/>
        <v>6.87</v>
      </c>
      <c r="F46" s="39">
        <v>11694</v>
      </c>
      <c r="G46" s="77">
        <f t="shared" si="11"/>
        <v>22.32</v>
      </c>
      <c r="H46" s="39">
        <v>3782</v>
      </c>
      <c r="I46" s="279">
        <f t="shared" si="12"/>
        <v>7.22</v>
      </c>
      <c r="J46" s="39">
        <v>33308</v>
      </c>
      <c r="K46" s="371">
        <f t="shared" si="13"/>
        <v>63.58</v>
      </c>
      <c r="L46" s="554"/>
      <c r="M46" s="163" t="s">
        <v>1744</v>
      </c>
      <c r="N46" s="335">
        <v>37022</v>
      </c>
      <c r="O46" s="371">
        <f t="shared" si="5"/>
        <v>23.71</v>
      </c>
      <c r="P46" s="335">
        <v>15363</v>
      </c>
      <c r="Q46" s="371">
        <f t="shared" si="6"/>
        <v>9.84</v>
      </c>
      <c r="R46" s="335">
        <v>103781</v>
      </c>
      <c r="S46" s="371">
        <f t="shared" si="7"/>
        <v>66.459999999999994</v>
      </c>
      <c r="T46" s="374">
        <f t="shared" si="8"/>
        <v>156166</v>
      </c>
    </row>
    <row r="47" spans="1:20" ht="18" customHeight="1">
      <c r="A47" s="163" t="s">
        <v>1745</v>
      </c>
      <c r="B47" s="261">
        <v>69247</v>
      </c>
      <c r="C47" s="371">
        <f t="shared" si="9"/>
        <v>36.29</v>
      </c>
      <c r="D47" s="39">
        <v>5033</v>
      </c>
      <c r="E47" s="77">
        <f t="shared" si="10"/>
        <v>7.27</v>
      </c>
      <c r="F47" s="39">
        <v>15022</v>
      </c>
      <c r="G47" s="77">
        <f t="shared" si="11"/>
        <v>21.69</v>
      </c>
      <c r="H47" s="39">
        <v>4322</v>
      </c>
      <c r="I47" s="279">
        <f t="shared" si="12"/>
        <v>6.24</v>
      </c>
      <c r="J47" s="39">
        <v>44870</v>
      </c>
      <c r="K47" s="371">
        <f t="shared" si="13"/>
        <v>64.8</v>
      </c>
      <c r="L47" s="554"/>
      <c r="M47" s="163" t="s">
        <v>1745</v>
      </c>
      <c r="N47" s="335">
        <v>47101</v>
      </c>
      <c r="O47" s="371">
        <f t="shared" si="5"/>
        <v>24.69</v>
      </c>
      <c r="P47" s="335">
        <v>22146</v>
      </c>
      <c r="Q47" s="371">
        <f t="shared" si="6"/>
        <v>11.61</v>
      </c>
      <c r="R47" s="335">
        <v>121554</v>
      </c>
      <c r="S47" s="371">
        <f t="shared" si="7"/>
        <v>63.71</v>
      </c>
      <c r="T47" s="374">
        <f t="shared" si="8"/>
        <v>190801</v>
      </c>
    </row>
    <row r="48" spans="1:20" ht="18" customHeight="1">
      <c r="A48" s="163" t="s">
        <v>1227</v>
      </c>
      <c r="B48" s="261">
        <v>64219</v>
      </c>
      <c r="C48" s="371">
        <f t="shared" si="9"/>
        <v>32.92</v>
      </c>
      <c r="D48" s="39">
        <v>6565</v>
      </c>
      <c r="E48" s="77">
        <f t="shared" si="10"/>
        <v>10.220000000000001</v>
      </c>
      <c r="F48" s="39">
        <v>23667</v>
      </c>
      <c r="G48" s="77">
        <f t="shared" si="11"/>
        <v>36.85</v>
      </c>
      <c r="H48" s="39">
        <v>5010</v>
      </c>
      <c r="I48" s="279">
        <f t="shared" si="12"/>
        <v>7.8</v>
      </c>
      <c r="J48" s="39">
        <v>28977</v>
      </c>
      <c r="K48" s="371">
        <f t="shared" si="13"/>
        <v>45.12</v>
      </c>
      <c r="L48" s="554"/>
      <c r="M48" s="163" t="s">
        <v>1227</v>
      </c>
      <c r="N48" s="335">
        <v>36415</v>
      </c>
      <c r="O48" s="371">
        <f t="shared" si="5"/>
        <v>18.66</v>
      </c>
      <c r="P48" s="335">
        <v>27804</v>
      </c>
      <c r="Q48" s="371">
        <f t="shared" si="6"/>
        <v>14.25</v>
      </c>
      <c r="R48" s="335">
        <v>130885</v>
      </c>
      <c r="S48" s="371">
        <f t="shared" si="7"/>
        <v>67.08</v>
      </c>
      <c r="T48" s="374">
        <f t="shared" si="8"/>
        <v>195104</v>
      </c>
    </row>
    <row r="49" spans="1:20" ht="18" customHeight="1">
      <c r="A49" s="163" t="s">
        <v>1228</v>
      </c>
      <c r="B49" s="261">
        <v>80895</v>
      </c>
      <c r="C49" s="371">
        <f t="shared" si="9"/>
        <v>36.630000000000003</v>
      </c>
      <c r="D49" s="39">
        <v>17769</v>
      </c>
      <c r="E49" s="77">
        <f t="shared" si="10"/>
        <v>21.97</v>
      </c>
      <c r="F49" s="39">
        <v>34503</v>
      </c>
      <c r="G49" s="77">
        <f t="shared" si="11"/>
        <v>42.65</v>
      </c>
      <c r="H49" s="39">
        <v>5001</v>
      </c>
      <c r="I49" s="279">
        <f t="shared" si="12"/>
        <v>6.18</v>
      </c>
      <c r="J49" s="39">
        <v>23622</v>
      </c>
      <c r="K49" s="371">
        <f t="shared" si="13"/>
        <v>29.2</v>
      </c>
      <c r="L49" s="554"/>
      <c r="M49" s="163" t="s">
        <v>1228</v>
      </c>
      <c r="N49" s="335">
        <v>50001</v>
      </c>
      <c r="O49" s="371">
        <f t="shared" si="5"/>
        <v>22.64</v>
      </c>
      <c r="P49" s="335">
        <v>30894</v>
      </c>
      <c r="Q49" s="371">
        <f t="shared" si="6"/>
        <v>13.99</v>
      </c>
      <c r="R49" s="335">
        <v>139944</v>
      </c>
      <c r="S49" s="371">
        <f t="shared" si="7"/>
        <v>63.37</v>
      </c>
      <c r="T49" s="374">
        <f t="shared" si="8"/>
        <v>220839</v>
      </c>
    </row>
    <row r="50" spans="1:20" ht="18" customHeight="1">
      <c r="A50" s="163" t="s">
        <v>863</v>
      </c>
      <c r="B50" s="261">
        <v>14808</v>
      </c>
      <c r="C50" s="371">
        <f t="shared" si="9"/>
        <v>35.42</v>
      </c>
      <c r="D50" s="39">
        <v>172</v>
      </c>
      <c r="E50" s="77">
        <f t="shared" si="10"/>
        <v>1.1599999999999999</v>
      </c>
      <c r="F50" s="39">
        <v>314</v>
      </c>
      <c r="G50" s="77">
        <f t="shared" si="11"/>
        <v>2.12</v>
      </c>
      <c r="H50" s="39">
        <v>337</v>
      </c>
      <c r="I50" s="279">
        <f t="shared" si="12"/>
        <v>2.2799999999999998</v>
      </c>
      <c r="J50" s="39">
        <v>13985</v>
      </c>
      <c r="K50" s="371">
        <f t="shared" si="13"/>
        <v>94.44</v>
      </c>
      <c r="L50" s="554"/>
      <c r="M50" s="163" t="s">
        <v>863</v>
      </c>
      <c r="N50" s="335">
        <v>13178</v>
      </c>
      <c r="O50" s="371">
        <f t="shared" si="5"/>
        <v>31.52</v>
      </c>
      <c r="P50" s="335">
        <v>1630</v>
      </c>
      <c r="Q50" s="371">
        <f t="shared" si="6"/>
        <v>3.9</v>
      </c>
      <c r="R50" s="335">
        <v>26994</v>
      </c>
      <c r="S50" s="371">
        <f t="shared" si="7"/>
        <v>64.58</v>
      </c>
      <c r="T50" s="374">
        <f t="shared" si="8"/>
        <v>41802</v>
      </c>
    </row>
    <row r="51" spans="1:20" ht="18" customHeight="1">
      <c r="A51" s="377" t="s">
        <v>317</v>
      </c>
      <c r="B51" s="268">
        <f>SUM(D51,F51,H51,J51)</f>
        <v>392444</v>
      </c>
      <c r="C51" s="366">
        <f t="shared" si="9"/>
        <v>38.909999999999997</v>
      </c>
      <c r="D51" s="367">
        <f>SUM(D52:D55)</f>
        <v>84251</v>
      </c>
      <c r="E51" s="366">
        <f t="shared" si="10"/>
        <v>21.47</v>
      </c>
      <c r="F51" s="170">
        <f>SUM(F52:F55)</f>
        <v>167292</v>
      </c>
      <c r="G51" s="366">
        <f t="shared" si="11"/>
        <v>42.63</v>
      </c>
      <c r="H51" s="170">
        <f>SUM(H52:H55)</f>
        <v>15952</v>
      </c>
      <c r="I51" s="366">
        <f t="shared" si="12"/>
        <v>4.0599999999999996</v>
      </c>
      <c r="J51" s="170">
        <f>SUM(J52:J55)</f>
        <v>124949</v>
      </c>
      <c r="K51" s="366">
        <f t="shared" si="13"/>
        <v>31.84</v>
      </c>
      <c r="L51" s="352"/>
      <c r="M51" s="377" t="s">
        <v>317</v>
      </c>
      <c r="N51" s="367">
        <f>SUM(N52:N55)</f>
        <v>211809</v>
      </c>
      <c r="O51" s="366">
        <f t="shared" si="5"/>
        <v>21</v>
      </c>
      <c r="P51" s="367">
        <f>SUM(P52:P55)</f>
        <v>180635</v>
      </c>
      <c r="Q51" s="366">
        <f t="shared" si="6"/>
        <v>17.91</v>
      </c>
      <c r="R51" s="367">
        <f>SUM(R52:R55)</f>
        <v>616209</v>
      </c>
      <c r="S51" s="366">
        <f t="shared" si="7"/>
        <v>61.09</v>
      </c>
      <c r="T51" s="368">
        <f t="shared" si="8"/>
        <v>1008653</v>
      </c>
    </row>
    <row r="52" spans="1:20" ht="18" customHeight="1">
      <c r="A52" s="163" t="s">
        <v>1205</v>
      </c>
      <c r="B52" s="261">
        <v>100663</v>
      </c>
      <c r="C52" s="371">
        <f t="shared" si="9"/>
        <v>35.700000000000003</v>
      </c>
      <c r="D52" s="39">
        <v>14216</v>
      </c>
      <c r="E52" s="77">
        <f t="shared" si="10"/>
        <v>14.12</v>
      </c>
      <c r="F52" s="39">
        <v>38503</v>
      </c>
      <c r="G52" s="77">
        <f t="shared" si="11"/>
        <v>38.25</v>
      </c>
      <c r="H52" s="39">
        <v>5195</v>
      </c>
      <c r="I52" s="77">
        <f t="shared" si="12"/>
        <v>5.16</v>
      </c>
      <c r="J52" s="39">
        <v>42749</v>
      </c>
      <c r="K52" s="371">
        <f t="shared" si="13"/>
        <v>42.47</v>
      </c>
      <c r="L52" s="554"/>
      <c r="M52" s="163" t="s">
        <v>1205</v>
      </c>
      <c r="N52" s="335">
        <v>59625</v>
      </c>
      <c r="O52" s="371">
        <f t="shared" si="5"/>
        <v>21.15</v>
      </c>
      <c r="P52" s="335">
        <v>41038</v>
      </c>
      <c r="Q52" s="371">
        <f t="shared" si="6"/>
        <v>14.55</v>
      </c>
      <c r="R52" s="335">
        <v>181300</v>
      </c>
      <c r="S52" s="371">
        <f t="shared" si="7"/>
        <v>64.3</v>
      </c>
      <c r="T52" s="374">
        <f t="shared" si="8"/>
        <v>281963</v>
      </c>
    </row>
    <row r="53" spans="1:20" ht="18" customHeight="1">
      <c r="A53" s="163" t="s">
        <v>1206</v>
      </c>
      <c r="B53" s="261">
        <v>65899</v>
      </c>
      <c r="C53" s="371">
        <f t="shared" si="9"/>
        <v>36.04</v>
      </c>
      <c r="D53" s="39">
        <v>15325</v>
      </c>
      <c r="E53" s="77">
        <f t="shared" si="10"/>
        <v>23.26</v>
      </c>
      <c r="F53" s="39">
        <v>22457</v>
      </c>
      <c r="G53" s="77">
        <f t="shared" si="11"/>
        <v>34.08</v>
      </c>
      <c r="H53" s="39">
        <v>2811</v>
      </c>
      <c r="I53" s="77">
        <f t="shared" si="12"/>
        <v>4.2699999999999996</v>
      </c>
      <c r="J53" s="39">
        <v>25306</v>
      </c>
      <c r="K53" s="371">
        <f t="shared" si="13"/>
        <v>38.4</v>
      </c>
      <c r="L53" s="554"/>
      <c r="M53" s="163" t="s">
        <v>1206</v>
      </c>
      <c r="N53" s="335">
        <v>41916</v>
      </c>
      <c r="O53" s="371">
        <f t="shared" si="5"/>
        <v>22.93</v>
      </c>
      <c r="P53" s="335">
        <v>23983</v>
      </c>
      <c r="Q53" s="371">
        <f t="shared" si="6"/>
        <v>13.12</v>
      </c>
      <c r="R53" s="335">
        <v>116931</v>
      </c>
      <c r="S53" s="371">
        <f t="shared" si="7"/>
        <v>63.96</v>
      </c>
      <c r="T53" s="374">
        <f t="shared" si="8"/>
        <v>182830</v>
      </c>
    </row>
    <row r="54" spans="1:20" ht="18" customHeight="1">
      <c r="A54" s="163" t="s">
        <v>1207</v>
      </c>
      <c r="B54" s="261">
        <v>84881</v>
      </c>
      <c r="C54" s="371">
        <f t="shared" si="9"/>
        <v>40.03</v>
      </c>
      <c r="D54" s="39">
        <v>20766</v>
      </c>
      <c r="E54" s="77">
        <f t="shared" si="10"/>
        <v>24.46</v>
      </c>
      <c r="F54" s="39">
        <v>37110</v>
      </c>
      <c r="G54" s="77">
        <f t="shared" si="11"/>
        <v>43.72</v>
      </c>
      <c r="H54" s="39">
        <v>3550</v>
      </c>
      <c r="I54" s="77">
        <f t="shared" si="12"/>
        <v>4.18</v>
      </c>
      <c r="J54" s="39">
        <v>23455</v>
      </c>
      <c r="K54" s="371">
        <f t="shared" si="13"/>
        <v>27.63</v>
      </c>
      <c r="L54" s="554"/>
      <c r="M54" s="163" t="s">
        <v>1207</v>
      </c>
      <c r="N54" s="335">
        <v>45163</v>
      </c>
      <c r="O54" s="371">
        <f t="shared" si="5"/>
        <v>21.3</v>
      </c>
      <c r="P54" s="335">
        <v>39718</v>
      </c>
      <c r="Q54" s="371">
        <f t="shared" si="6"/>
        <v>18.73</v>
      </c>
      <c r="R54" s="335">
        <v>127156</v>
      </c>
      <c r="S54" s="371">
        <f t="shared" si="7"/>
        <v>59.97</v>
      </c>
      <c r="T54" s="374">
        <f t="shared" si="8"/>
        <v>212037</v>
      </c>
    </row>
    <row r="55" spans="1:20" ht="18" customHeight="1">
      <c r="A55" s="378" t="s">
        <v>1208</v>
      </c>
      <c r="B55" s="74">
        <v>141001</v>
      </c>
      <c r="C55" s="381">
        <f t="shared" si="9"/>
        <v>42.49</v>
      </c>
      <c r="D55" s="25">
        <v>33944</v>
      </c>
      <c r="E55" s="78">
        <f t="shared" si="10"/>
        <v>24.07</v>
      </c>
      <c r="F55" s="25">
        <v>69222</v>
      </c>
      <c r="G55" s="78">
        <f t="shared" si="11"/>
        <v>49.09</v>
      </c>
      <c r="H55" s="25">
        <v>4396</v>
      </c>
      <c r="I55" s="78">
        <f t="shared" si="12"/>
        <v>3.12</v>
      </c>
      <c r="J55" s="25">
        <v>33439</v>
      </c>
      <c r="K55" s="381">
        <f t="shared" si="13"/>
        <v>23.72</v>
      </c>
      <c r="L55" s="554"/>
      <c r="M55" s="378" t="s">
        <v>1208</v>
      </c>
      <c r="N55" s="335">
        <v>65105</v>
      </c>
      <c r="O55" s="381">
        <f t="shared" si="5"/>
        <v>19.62</v>
      </c>
      <c r="P55" s="335">
        <v>75896</v>
      </c>
      <c r="Q55" s="381">
        <f t="shared" si="6"/>
        <v>22.87</v>
      </c>
      <c r="R55" s="335">
        <v>190822</v>
      </c>
      <c r="S55" s="371">
        <f t="shared" si="7"/>
        <v>57.51</v>
      </c>
      <c r="T55" s="374">
        <f t="shared" si="8"/>
        <v>331823</v>
      </c>
    </row>
    <row r="56" spans="1:20" ht="18" customHeight="1">
      <c r="A56" s="937" t="s">
        <v>252</v>
      </c>
      <c r="B56" s="1456">
        <f>SUM(B8,B17,B35,B40,B51)</f>
        <v>2964494</v>
      </c>
      <c r="C56" s="385">
        <f t="shared" si="9"/>
        <v>36.32</v>
      </c>
      <c r="D56" s="1457">
        <f>SUM(D8,D17,D35,D40,D51)</f>
        <v>355350</v>
      </c>
      <c r="E56" s="385">
        <f t="shared" si="10"/>
        <v>11.99</v>
      </c>
      <c r="F56" s="1456">
        <f>SUM(F8,F17,F35,F40,F51)</f>
        <v>806562</v>
      </c>
      <c r="G56" s="385">
        <f t="shared" si="11"/>
        <v>27.21</v>
      </c>
      <c r="H56" s="1456">
        <f>SUM(H8,H17,H35,H40,H51)</f>
        <v>240976</v>
      </c>
      <c r="I56" s="385">
        <f t="shared" si="12"/>
        <v>8.1300000000000008</v>
      </c>
      <c r="J56" s="1456">
        <f>SUM(J8,J17,J35,J40,J51)</f>
        <v>1561606</v>
      </c>
      <c r="K56" s="385">
        <f>ROUND(J56/$B56*100,2)-0.01</f>
        <v>52.67</v>
      </c>
      <c r="L56" s="786"/>
      <c r="M56" s="937" t="s">
        <v>1404</v>
      </c>
      <c r="N56" s="383">
        <f>SUM(N8,N17,N35,N40,N51)</f>
        <v>2003685</v>
      </c>
      <c r="O56" s="385">
        <f t="shared" si="5"/>
        <v>24.55</v>
      </c>
      <c r="P56" s="383">
        <f>SUM(P8,P17,P35,P40,P51)</f>
        <v>960809</v>
      </c>
      <c r="Q56" s="385">
        <f>ROUND(P56/$T56*100,2)</f>
        <v>11.77</v>
      </c>
      <c r="R56" s="383">
        <f>SUM(R8,R17,R35,R40,R51)</f>
        <v>5197467</v>
      </c>
      <c r="S56" s="384">
        <f t="shared" si="7"/>
        <v>63.68</v>
      </c>
      <c r="T56" s="386">
        <f>SUM(T8,T17,T35,T40,T51)</f>
        <v>8161961</v>
      </c>
    </row>
    <row r="57" spans="1:20">
      <c r="A57" s="156"/>
      <c r="B57" s="156"/>
      <c r="C57" s="156"/>
      <c r="D57" s="156"/>
      <c r="E57" s="155"/>
      <c r="K57" s="897" t="s">
        <v>678</v>
      </c>
      <c r="M57" s="1074" t="s">
        <v>303</v>
      </c>
      <c r="N57" s="148"/>
      <c r="O57" s="148"/>
      <c r="P57" s="1468" t="s">
        <v>1539</v>
      </c>
      <c r="T57" s="1008" t="s">
        <v>1186</v>
      </c>
    </row>
    <row r="58" spans="1:20">
      <c r="A58" s="156"/>
      <c r="B58" s="156"/>
      <c r="C58" s="156"/>
      <c r="D58" s="156"/>
      <c r="E58" s="155"/>
      <c r="F58" s="155"/>
      <c r="I58" s="12"/>
      <c r="M58" s="1158" t="s">
        <v>596</v>
      </c>
      <c r="N58" s="148"/>
      <c r="O58" s="148"/>
      <c r="P58" s="156"/>
    </row>
    <row r="59" spans="1:20">
      <c r="J59" s="157"/>
      <c r="M59" s="1469" t="s">
        <v>1405</v>
      </c>
      <c r="N59" s="148"/>
      <c r="O59" s="148"/>
    </row>
  </sheetData>
  <mergeCells count="45">
    <mergeCell ref="T4:T6"/>
    <mergeCell ref="S5:S6"/>
    <mergeCell ref="R5:R6"/>
    <mergeCell ref="R4:S4"/>
    <mergeCell ref="P4:Q4"/>
    <mergeCell ref="N31:O31"/>
    <mergeCell ref="O32:O33"/>
    <mergeCell ref="M31:M33"/>
    <mergeCell ref="B4:C4"/>
    <mergeCell ref="D5:E5"/>
    <mergeCell ref="N4:O4"/>
    <mergeCell ref="N5:N6"/>
    <mergeCell ref="B5:B6"/>
    <mergeCell ref="H5:I5"/>
    <mergeCell ref="F5:G5"/>
    <mergeCell ref="J5:K5"/>
    <mergeCell ref="O5:O6"/>
    <mergeCell ref="M4:M6"/>
    <mergeCell ref="D4:K4"/>
    <mergeCell ref="M2:T2"/>
    <mergeCell ref="M29:T29"/>
    <mergeCell ref="A29:K29"/>
    <mergeCell ref="P32:P33"/>
    <mergeCell ref="Q32:Q33"/>
    <mergeCell ref="R32:R33"/>
    <mergeCell ref="S32:S33"/>
    <mergeCell ref="P31:Q31"/>
    <mergeCell ref="R31:S31"/>
    <mergeCell ref="T31:T33"/>
    <mergeCell ref="P5:P6"/>
    <mergeCell ref="Q5:Q6"/>
    <mergeCell ref="N32:N33"/>
    <mergeCell ref="A31:A33"/>
    <mergeCell ref="B31:C31"/>
    <mergeCell ref="D31:K31"/>
    <mergeCell ref="A1:K1"/>
    <mergeCell ref="A2:K2"/>
    <mergeCell ref="B32:B33"/>
    <mergeCell ref="C32:C33"/>
    <mergeCell ref="D32:E32"/>
    <mergeCell ref="F32:G32"/>
    <mergeCell ref="H32:I32"/>
    <mergeCell ref="J32:K32"/>
    <mergeCell ref="A4:A6"/>
    <mergeCell ref="C5:C6"/>
  </mergeCells>
  <phoneticPr fontId="0" type="noConversion"/>
  <printOptions horizontalCentered="1"/>
  <pageMargins left="0.1" right="0.1" top="0.52" bottom="0.1" header="0.5" footer="0.1"/>
  <pageSetup paperSize="9" orientation="landscape" blackAndWhite="1" r:id="rId1"/>
  <headerFooter alignWithMargins="0"/>
  <rowBreaks count="1" manualBreakCount="1">
    <brk id="28" max="16383" man="1"/>
  </rowBreaks>
  <colBreaks count="1" manualBreakCount="1">
    <brk id="11" max="1048575" man="1"/>
  </colBreaks>
</worksheet>
</file>

<file path=xl/worksheets/sheet18.xml><?xml version="1.0" encoding="utf-8"?>
<worksheet xmlns="http://schemas.openxmlformats.org/spreadsheetml/2006/main" xmlns:r="http://schemas.openxmlformats.org/officeDocument/2006/relationships">
  <sheetPr codeName="Sheet17"/>
  <dimension ref="A1:G58"/>
  <sheetViews>
    <sheetView topLeftCell="A28" workbookViewId="0">
      <selection activeCell="J11" sqref="J11"/>
    </sheetView>
  </sheetViews>
  <sheetFormatPr defaultRowHeight="12.75"/>
  <cols>
    <col min="1" max="1" width="5.42578125" customWidth="1"/>
    <col min="2" max="2" width="2.140625" customWidth="1"/>
    <col min="3" max="3" width="25" customWidth="1"/>
    <col min="4" max="4" width="11.28515625" customWidth="1"/>
    <col min="5" max="5" width="11.85546875" customWidth="1"/>
    <col min="6" max="6" width="11.7109375" customWidth="1"/>
    <col min="7" max="7" width="14.5703125" customWidth="1"/>
  </cols>
  <sheetData>
    <row r="1" spans="1:7">
      <c r="A1" s="1795" t="s">
        <v>347</v>
      </c>
      <c r="B1" s="1795"/>
      <c r="C1" s="1795"/>
      <c r="D1" s="1795"/>
      <c r="E1" s="1795"/>
      <c r="F1" s="1795"/>
      <c r="G1" s="1795"/>
    </row>
    <row r="2" spans="1:7" ht="34.5" customHeight="1">
      <c r="A2" s="1796" t="str">
        <f>CONCATENATE("Distribution of Population over different categories of workers 
and non-workers by sex in the district of ",District!$A$1,", 2011")</f>
        <v>Distribution of Population over different categories of workers 
and non-workers by sex in the district of South 24-Parganas, 2011</v>
      </c>
      <c r="B2" s="1796"/>
      <c r="C2" s="1796"/>
      <c r="D2" s="1796"/>
      <c r="E2" s="1796"/>
      <c r="F2" s="1796"/>
      <c r="G2" s="1796"/>
    </row>
    <row r="3" spans="1:7" ht="12.75" customHeight="1">
      <c r="D3" s="3"/>
      <c r="E3" s="3"/>
      <c r="F3" s="3"/>
      <c r="G3" s="3"/>
    </row>
    <row r="4" spans="1:7">
      <c r="A4" s="1742" t="s">
        <v>1076</v>
      </c>
      <c r="B4" s="1798"/>
      <c r="C4" s="1799"/>
      <c r="D4" s="1742" t="s">
        <v>839</v>
      </c>
      <c r="E4" s="1798"/>
      <c r="F4" s="1799"/>
      <c r="G4" s="1737" t="s">
        <v>78</v>
      </c>
    </row>
    <row r="5" spans="1:7" ht="14.25" customHeight="1">
      <c r="A5" s="1761"/>
      <c r="B5" s="1800"/>
      <c r="C5" s="1801"/>
      <c r="D5" s="1802"/>
      <c r="E5" s="1803"/>
      <c r="F5" s="1804"/>
      <c r="G5" s="1743"/>
    </row>
    <row r="6" spans="1:7" ht="15.75" customHeight="1">
      <c r="A6" s="1802"/>
      <c r="B6" s="1803"/>
      <c r="C6" s="1804"/>
      <c r="D6" s="336" t="s">
        <v>1003</v>
      </c>
      <c r="E6" s="336" t="s">
        <v>1004</v>
      </c>
      <c r="F6" s="336" t="s">
        <v>958</v>
      </c>
      <c r="G6" s="1738"/>
    </row>
    <row r="7" spans="1:7" ht="12.75" customHeight="1">
      <c r="A7" s="1716" t="s">
        <v>928</v>
      </c>
      <c r="B7" s="1717"/>
      <c r="C7" s="1797"/>
      <c r="D7" s="119" t="s">
        <v>929</v>
      </c>
      <c r="E7" s="119" t="s">
        <v>930</v>
      </c>
      <c r="F7" s="119" t="s">
        <v>931</v>
      </c>
      <c r="G7" s="199" t="s">
        <v>932</v>
      </c>
    </row>
    <row r="8" spans="1:7" ht="14.25" customHeight="1">
      <c r="A8" s="402" t="s">
        <v>1077</v>
      </c>
      <c r="B8" s="233" t="s">
        <v>1078</v>
      </c>
      <c r="C8" s="669"/>
      <c r="D8" s="406"/>
      <c r="E8" s="406"/>
      <c r="F8" s="406"/>
      <c r="G8" s="405"/>
    </row>
    <row r="9" spans="1:7" ht="14.25" customHeight="1">
      <c r="A9" s="1793" t="s">
        <v>1079</v>
      </c>
      <c r="B9" s="1794"/>
      <c r="C9" s="484" t="s">
        <v>1080</v>
      </c>
      <c r="D9" s="406"/>
      <c r="E9" s="406"/>
      <c r="F9" s="406"/>
      <c r="G9" s="405"/>
    </row>
    <row r="10" spans="1:7" ht="14.25" customHeight="1">
      <c r="A10" s="1791"/>
      <c r="B10" s="1792"/>
      <c r="C10" s="789" t="s">
        <v>1006</v>
      </c>
      <c r="D10" s="1429">
        <v>1227192</v>
      </c>
      <c r="E10" s="1429">
        <v>166568</v>
      </c>
      <c r="F10" s="39">
        <f>D10+E10</f>
        <v>1393760</v>
      </c>
      <c r="G10" s="279">
        <f>ROUND(F10/$F$22*100,2)</f>
        <v>22.95</v>
      </c>
    </row>
    <row r="11" spans="1:7" ht="14.25" customHeight="1">
      <c r="A11" s="1791"/>
      <c r="B11" s="1792"/>
      <c r="C11" s="483" t="s">
        <v>1005</v>
      </c>
      <c r="D11" s="1429">
        <v>521522</v>
      </c>
      <c r="E11" s="1429">
        <v>88403</v>
      </c>
      <c r="F11" s="39">
        <f>D11+E11</f>
        <v>609925</v>
      </c>
      <c r="G11" s="279">
        <f>ROUND(F11/$F$23*100,2)+0.01</f>
        <v>29.220000000000002</v>
      </c>
    </row>
    <row r="12" spans="1:7" ht="14.25" customHeight="1">
      <c r="A12" s="1791"/>
      <c r="B12" s="1792"/>
      <c r="C12" s="483" t="s">
        <v>1081</v>
      </c>
      <c r="D12" s="887">
        <f>D10+D11</f>
        <v>1748714</v>
      </c>
      <c r="E12" s="887">
        <f>E10+E11</f>
        <v>254971</v>
      </c>
      <c r="F12" s="887">
        <f>F10+F11</f>
        <v>2003685</v>
      </c>
      <c r="G12" s="977">
        <f>ROUND(F12/$F$24*100,2)</f>
        <v>24.55</v>
      </c>
    </row>
    <row r="13" spans="1:7" ht="14.25" customHeight="1">
      <c r="A13" s="1793" t="s">
        <v>1082</v>
      </c>
      <c r="B13" s="1794"/>
      <c r="C13" s="484" t="s">
        <v>1083</v>
      </c>
      <c r="D13" s="39"/>
      <c r="E13" s="39"/>
      <c r="F13" s="39"/>
      <c r="G13" s="279"/>
    </row>
    <row r="14" spans="1:7" ht="14.25" customHeight="1">
      <c r="A14" s="1791"/>
      <c r="B14" s="1792"/>
      <c r="C14" s="789" t="s">
        <v>1006</v>
      </c>
      <c r="D14" s="1429">
        <v>516939</v>
      </c>
      <c r="E14" s="1429">
        <v>293906</v>
      </c>
      <c r="F14" s="39">
        <f>D14+E14</f>
        <v>810845</v>
      </c>
      <c r="G14" s="279">
        <f>ROUND(F14/$F$22*100,2)</f>
        <v>13.35</v>
      </c>
    </row>
    <row r="15" spans="1:7" ht="14.25" customHeight="1">
      <c r="A15" s="1791"/>
      <c r="B15" s="1792"/>
      <c r="C15" s="483" t="s">
        <v>1005</v>
      </c>
      <c r="D15" s="1429">
        <v>90918</v>
      </c>
      <c r="E15" s="1429">
        <v>59046</v>
      </c>
      <c r="F15" s="39">
        <f>D15+E15</f>
        <v>149964</v>
      </c>
      <c r="G15" s="279">
        <f>ROUND(F15/$F$23*100,2)</f>
        <v>7.18</v>
      </c>
    </row>
    <row r="16" spans="1:7" ht="14.25" customHeight="1">
      <c r="A16" s="1791"/>
      <c r="B16" s="1792"/>
      <c r="C16" s="483" t="s">
        <v>1081</v>
      </c>
      <c r="D16" s="887">
        <f>D14+D15</f>
        <v>607857</v>
      </c>
      <c r="E16" s="887">
        <f>E14+E15</f>
        <v>352952</v>
      </c>
      <c r="F16" s="887">
        <f>F14+F15</f>
        <v>960809</v>
      </c>
      <c r="G16" s="977">
        <f>ROUND(F16/$F$24*100,2)</f>
        <v>11.77</v>
      </c>
    </row>
    <row r="17" spans="1:7" ht="14.25" customHeight="1">
      <c r="A17" s="402" t="s">
        <v>1084</v>
      </c>
      <c r="B17" s="233" t="s">
        <v>1085</v>
      </c>
      <c r="C17" s="669"/>
      <c r="D17" s="39"/>
      <c r="E17" s="39"/>
      <c r="F17" s="39"/>
      <c r="G17" s="279"/>
    </row>
    <row r="18" spans="1:7" ht="14.25" customHeight="1">
      <c r="A18" s="1791"/>
      <c r="B18" s="1792"/>
      <c r="C18" s="789" t="s">
        <v>1006</v>
      </c>
      <c r="D18" s="1429">
        <v>1365088</v>
      </c>
      <c r="E18" s="1429">
        <v>2504495</v>
      </c>
      <c r="F18" s="39">
        <f>D18+E18</f>
        <v>3869583</v>
      </c>
      <c r="G18" s="279">
        <f>ROUND(F18/$F$22*100,2)-0.01</f>
        <v>63.7</v>
      </c>
    </row>
    <row r="19" spans="1:7" ht="14.25" customHeight="1">
      <c r="A19" s="1791"/>
      <c r="B19" s="1792"/>
      <c r="C19" s="483" t="s">
        <v>1005</v>
      </c>
      <c r="D19" s="1429">
        <v>452119</v>
      </c>
      <c r="E19" s="1429">
        <v>875765</v>
      </c>
      <c r="F19" s="39">
        <f>D19+E19</f>
        <v>1327884</v>
      </c>
      <c r="G19" s="279">
        <f>ROUND(F19/$F$23*100,2)</f>
        <v>63.6</v>
      </c>
    </row>
    <row r="20" spans="1:7" ht="14.25" customHeight="1">
      <c r="A20" s="1791"/>
      <c r="B20" s="1792"/>
      <c r="C20" s="483" t="s">
        <v>1081</v>
      </c>
      <c r="D20" s="887">
        <f>D18+D19</f>
        <v>1817207</v>
      </c>
      <c r="E20" s="887">
        <f>E18+E19</f>
        <v>3380260</v>
      </c>
      <c r="F20" s="887">
        <f>D20+E20</f>
        <v>5197467</v>
      </c>
      <c r="G20" s="977">
        <f>ROUND(F20/$F$24*100,2)</f>
        <v>63.68</v>
      </c>
    </row>
    <row r="21" spans="1:7" ht="14.25" customHeight="1">
      <c r="A21" s="402" t="s">
        <v>1576</v>
      </c>
      <c r="B21" s="790"/>
      <c r="C21" s="791"/>
      <c r="D21" s="39"/>
      <c r="E21" s="39"/>
      <c r="F21" s="39"/>
      <c r="G21" s="279"/>
    </row>
    <row r="22" spans="1:7" ht="14.25" customHeight="1">
      <c r="A22" s="1791"/>
      <c r="B22" s="1792"/>
      <c r="C22" s="1237" t="s">
        <v>1006</v>
      </c>
      <c r="D22" s="413">
        <f>D10+D14+D18</f>
        <v>3109219</v>
      </c>
      <c r="E22" s="413">
        <f>E10+E14+E18</f>
        <v>2964969</v>
      </c>
      <c r="F22" s="28">
        <f>D22+E22</f>
        <v>6074188</v>
      </c>
      <c r="G22" s="1449">
        <f>ROUND(F22/$F$22*100,2)</f>
        <v>100</v>
      </c>
    </row>
    <row r="23" spans="1:7" ht="14.25" customHeight="1">
      <c r="A23" s="1791"/>
      <c r="B23" s="1792"/>
      <c r="C23" s="787" t="s">
        <v>1005</v>
      </c>
      <c r="D23" s="413">
        <f>D11+D15+D19</f>
        <v>1064559</v>
      </c>
      <c r="E23" s="413">
        <f>E11+E15+E19</f>
        <v>1023214</v>
      </c>
      <c r="F23" s="28">
        <f>D23+E23</f>
        <v>2087773</v>
      </c>
      <c r="G23" s="1449">
        <f>ROUND(F23/$F$23*100,2)</f>
        <v>100</v>
      </c>
    </row>
    <row r="24" spans="1:7" ht="14.25" customHeight="1">
      <c r="A24" s="1791"/>
      <c r="B24" s="1792"/>
      <c r="C24" s="787" t="s">
        <v>1081</v>
      </c>
      <c r="D24" s="411">
        <f>D22+D23</f>
        <v>4173778</v>
      </c>
      <c r="E24" s="411">
        <f>E22+E23</f>
        <v>3988183</v>
      </c>
      <c r="F24" s="411">
        <f>F22+F23</f>
        <v>8161961</v>
      </c>
      <c r="G24" s="788">
        <f>ROUND(F24/$F$24*100,2)</f>
        <v>100</v>
      </c>
    </row>
    <row r="25" spans="1:7" ht="14.25" customHeight="1">
      <c r="A25" s="1742" t="s">
        <v>1076</v>
      </c>
      <c r="B25" s="1798"/>
      <c r="C25" s="1799"/>
      <c r="D25" s="1742" t="s">
        <v>839</v>
      </c>
      <c r="E25" s="1798"/>
      <c r="F25" s="1799"/>
      <c r="G25" s="1737" t="s">
        <v>1538</v>
      </c>
    </row>
    <row r="26" spans="1:7" ht="14.25" customHeight="1">
      <c r="A26" s="1761"/>
      <c r="B26" s="1800"/>
      <c r="C26" s="1801"/>
      <c r="D26" s="1802"/>
      <c r="E26" s="1803"/>
      <c r="F26" s="1804"/>
      <c r="G26" s="1743"/>
    </row>
    <row r="27" spans="1:7" ht="14.25" customHeight="1">
      <c r="A27" s="1802"/>
      <c r="B27" s="1803"/>
      <c r="C27" s="1804"/>
      <c r="D27" s="336" t="s">
        <v>1003</v>
      </c>
      <c r="E27" s="336" t="s">
        <v>1004</v>
      </c>
      <c r="F27" s="336" t="s">
        <v>958</v>
      </c>
      <c r="G27" s="1738"/>
    </row>
    <row r="28" spans="1:7">
      <c r="A28" s="1716" t="s">
        <v>933</v>
      </c>
      <c r="B28" s="1717"/>
      <c r="C28" s="1797"/>
      <c r="D28" s="119" t="s">
        <v>934</v>
      </c>
      <c r="E28" s="119" t="s">
        <v>959</v>
      </c>
      <c r="F28" s="119" t="s">
        <v>960</v>
      </c>
      <c r="G28" s="199" t="s">
        <v>961</v>
      </c>
    </row>
    <row r="29" spans="1:7" ht="14.25" customHeight="1">
      <c r="A29" s="402" t="s">
        <v>1086</v>
      </c>
      <c r="B29" s="233" t="s">
        <v>1078</v>
      </c>
      <c r="C29" s="791"/>
      <c r="D29" s="39"/>
      <c r="E29" s="39"/>
      <c r="F29" s="39"/>
      <c r="G29" s="77"/>
    </row>
    <row r="30" spans="1:7" ht="14.25" customHeight="1">
      <c r="A30" s="1793">
        <v>1</v>
      </c>
      <c r="B30" s="1794"/>
      <c r="C30" s="484" t="s">
        <v>1087</v>
      </c>
      <c r="D30" s="39"/>
      <c r="E30" s="39"/>
      <c r="F30" s="39"/>
      <c r="G30" s="77"/>
    </row>
    <row r="31" spans="1:7" ht="14.25" customHeight="1">
      <c r="A31" s="1791"/>
      <c r="B31" s="1792"/>
      <c r="C31" s="789" t="s">
        <v>1006</v>
      </c>
      <c r="D31" s="1429">
        <v>290339</v>
      </c>
      <c r="E31" s="1429">
        <v>49886</v>
      </c>
      <c r="F31" s="39">
        <f>D31+E31</f>
        <v>340225</v>
      </c>
      <c r="G31" s="279">
        <f>ROUND(F31/$F$47*100,2)</f>
        <v>15.43</v>
      </c>
    </row>
    <row r="32" spans="1:7" ht="14.25" customHeight="1">
      <c r="A32" s="1791"/>
      <c r="B32" s="1792"/>
      <c r="C32" s="483" t="s">
        <v>1005</v>
      </c>
      <c r="D32" s="1429">
        <v>11779</v>
      </c>
      <c r="E32" s="1429">
        <v>3346</v>
      </c>
      <c r="F32" s="39">
        <f>D32+E32</f>
        <v>15125</v>
      </c>
      <c r="G32" s="279">
        <f>ROUND(F32/$F$48*100,2)</f>
        <v>1.99</v>
      </c>
    </row>
    <row r="33" spans="1:7" ht="14.25" customHeight="1">
      <c r="A33" s="1791"/>
      <c r="B33" s="1792"/>
      <c r="C33" s="483" t="s">
        <v>1081</v>
      </c>
      <c r="D33" s="887">
        <f>D31+D32</f>
        <v>302118</v>
      </c>
      <c r="E33" s="887">
        <f>E31+E32</f>
        <v>53232</v>
      </c>
      <c r="F33" s="887">
        <f>F31+F32</f>
        <v>355350</v>
      </c>
      <c r="G33" s="977">
        <f>ROUND(F33/$F$49*100,2)</f>
        <v>11.99</v>
      </c>
    </row>
    <row r="34" spans="1:7" ht="14.25" customHeight="1">
      <c r="A34" s="1793">
        <v>2</v>
      </c>
      <c r="B34" s="1794"/>
      <c r="C34" s="484" t="s">
        <v>1088</v>
      </c>
      <c r="D34" s="39"/>
      <c r="E34" s="39"/>
      <c r="F34" s="39"/>
      <c r="G34" s="77"/>
    </row>
    <row r="35" spans="1:7" ht="14.25" customHeight="1">
      <c r="A35" s="1791"/>
      <c r="B35" s="1792"/>
      <c r="C35" s="789" t="s">
        <v>1006</v>
      </c>
      <c r="D35" s="1429">
        <v>618826</v>
      </c>
      <c r="E35" s="1429">
        <v>145688</v>
      </c>
      <c r="F35" s="39">
        <f>D35+E35</f>
        <v>764514</v>
      </c>
      <c r="G35" s="279">
        <f>ROUND(F35/$F$47*100,2)</f>
        <v>34.68</v>
      </c>
    </row>
    <row r="36" spans="1:7" ht="14.25" customHeight="1">
      <c r="A36" s="1791"/>
      <c r="B36" s="1792"/>
      <c r="C36" s="483" t="s">
        <v>1005</v>
      </c>
      <c r="D36" s="1429">
        <v>36436</v>
      </c>
      <c r="E36" s="1429">
        <v>5612</v>
      </c>
      <c r="F36" s="39">
        <f>D36+E36</f>
        <v>42048</v>
      </c>
      <c r="G36" s="279">
        <f>ROUND(F36/$F$48*100,2)</f>
        <v>5.53</v>
      </c>
    </row>
    <row r="37" spans="1:7" ht="14.25" customHeight="1">
      <c r="A37" s="1791"/>
      <c r="B37" s="1792"/>
      <c r="C37" s="483" t="s">
        <v>1081</v>
      </c>
      <c r="D37" s="887">
        <f>D35+D36</f>
        <v>655262</v>
      </c>
      <c r="E37" s="887">
        <f>E35+E36</f>
        <v>151300</v>
      </c>
      <c r="F37" s="887">
        <f>D37+E37</f>
        <v>806562</v>
      </c>
      <c r="G37" s="977">
        <f>ROUND(F37/$F$49*100,2)</f>
        <v>27.21</v>
      </c>
    </row>
    <row r="38" spans="1:7" ht="14.25" customHeight="1">
      <c r="A38" s="1793">
        <v>3</v>
      </c>
      <c r="B38" s="1794"/>
      <c r="C38" s="484" t="s">
        <v>1089</v>
      </c>
      <c r="D38" s="39"/>
      <c r="E38" s="39"/>
      <c r="F38" s="39"/>
      <c r="G38" s="77"/>
    </row>
    <row r="39" spans="1:7" ht="14.25" customHeight="1">
      <c r="A39" s="1791"/>
      <c r="B39" s="1792"/>
      <c r="C39" s="789" t="s">
        <v>1006</v>
      </c>
      <c r="D39" s="1429">
        <v>93689</v>
      </c>
      <c r="E39" s="1429">
        <v>87136</v>
      </c>
      <c r="F39" s="39">
        <f>D39+E39</f>
        <v>180825</v>
      </c>
      <c r="G39" s="279">
        <f>ROUND(F39/$F$47*100,2)</f>
        <v>8.1999999999999993</v>
      </c>
    </row>
    <row r="40" spans="1:7" ht="14.25" customHeight="1">
      <c r="A40" s="1791"/>
      <c r="B40" s="1792"/>
      <c r="C40" s="483" t="s">
        <v>1005</v>
      </c>
      <c r="D40" s="1429">
        <v>40098</v>
      </c>
      <c r="E40" s="1429">
        <v>20053</v>
      </c>
      <c r="F40" s="39">
        <f>D40+E40</f>
        <v>60151</v>
      </c>
      <c r="G40" s="279">
        <f>ROUND(F40/$F$48*100,2)</f>
        <v>7.92</v>
      </c>
    </row>
    <row r="41" spans="1:7" ht="14.25" customHeight="1">
      <c r="A41" s="1791"/>
      <c r="B41" s="1792"/>
      <c r="C41" s="483" t="s">
        <v>1081</v>
      </c>
      <c r="D41" s="887">
        <f>D39+D40</f>
        <v>133787</v>
      </c>
      <c r="E41" s="887">
        <f>E39+E40</f>
        <v>107189</v>
      </c>
      <c r="F41" s="887">
        <f>D41+E41</f>
        <v>240976</v>
      </c>
      <c r="G41" s="977">
        <f>ROUND(F41/$F$49*100,2)</f>
        <v>8.1300000000000008</v>
      </c>
    </row>
    <row r="42" spans="1:7" ht="14.25" customHeight="1">
      <c r="A42" s="1808">
        <v>4</v>
      </c>
      <c r="B42" s="1809"/>
      <c r="C42" s="484" t="s">
        <v>1090</v>
      </c>
      <c r="D42" s="39"/>
      <c r="E42" s="39"/>
      <c r="F42" s="39"/>
      <c r="G42" s="77"/>
    </row>
    <row r="43" spans="1:7" ht="14.25" customHeight="1">
      <c r="A43" s="1791"/>
      <c r="B43" s="1792"/>
      <c r="C43" s="789" t="s">
        <v>1006</v>
      </c>
      <c r="D43" s="1429">
        <v>741277</v>
      </c>
      <c r="E43" s="1429">
        <v>177764</v>
      </c>
      <c r="F43" s="39">
        <f>D43+E43</f>
        <v>919041</v>
      </c>
      <c r="G43" s="279">
        <f>ROUND(F43/$F$47*100,2)</f>
        <v>41.69</v>
      </c>
    </row>
    <row r="44" spans="1:7" ht="14.25" customHeight="1">
      <c r="A44" s="1791"/>
      <c r="B44" s="1792"/>
      <c r="C44" s="483" t="s">
        <v>1005</v>
      </c>
      <c r="D44" s="1429">
        <v>524127</v>
      </c>
      <c r="E44" s="1429">
        <v>118438</v>
      </c>
      <c r="F44" s="39">
        <f>D44+E44</f>
        <v>642565</v>
      </c>
      <c r="G44" s="279">
        <f>ROUND(F44/$F$48*100,2)</f>
        <v>84.56</v>
      </c>
    </row>
    <row r="45" spans="1:7" ht="14.25" customHeight="1">
      <c r="A45" s="1791"/>
      <c r="B45" s="1792"/>
      <c r="C45" s="483" t="s">
        <v>1081</v>
      </c>
      <c r="D45" s="887">
        <f>D43+D44</f>
        <v>1265404</v>
      </c>
      <c r="E45" s="887">
        <f>E43+E44</f>
        <v>296202</v>
      </c>
      <c r="F45" s="887">
        <f>D45+E45</f>
        <v>1561606</v>
      </c>
      <c r="G45" s="977">
        <f>ROUND(F45/$F$49*100,2)-0.01</f>
        <v>52.67</v>
      </c>
    </row>
    <row r="46" spans="1:7" ht="14.25" customHeight="1">
      <c r="A46" s="792"/>
      <c r="B46" s="793" t="s">
        <v>1091</v>
      </c>
      <c r="C46" s="794"/>
      <c r="D46" s="39"/>
      <c r="E46" s="39"/>
      <c r="F46" s="39"/>
      <c r="G46" s="77"/>
    </row>
    <row r="47" spans="1:7" ht="14.25" customHeight="1">
      <c r="A47" s="1791"/>
      <c r="B47" s="1792"/>
      <c r="C47" s="1237" t="s">
        <v>1006</v>
      </c>
      <c r="D47" s="28">
        <f t="shared" ref="D47:E49" si="0">D31+D35+D39+D43</f>
        <v>1744131</v>
      </c>
      <c r="E47" s="28">
        <f t="shared" si="0"/>
        <v>460474</v>
      </c>
      <c r="F47" s="301">
        <f>D47+E47</f>
        <v>2204605</v>
      </c>
      <c r="G47" s="1450">
        <f>ROUND(F47/$F$47*100,2)</f>
        <v>100</v>
      </c>
    </row>
    <row r="48" spans="1:7" ht="14.25" customHeight="1">
      <c r="A48" s="1791"/>
      <c r="B48" s="1792"/>
      <c r="C48" s="787" t="s">
        <v>1005</v>
      </c>
      <c r="D48" s="28">
        <f t="shared" si="0"/>
        <v>612440</v>
      </c>
      <c r="E48" s="28">
        <f t="shared" si="0"/>
        <v>147449</v>
      </c>
      <c r="F48" s="301">
        <f>D48+E48</f>
        <v>759889</v>
      </c>
      <c r="G48" s="1450">
        <f>ROUND(F48/$F$48*100,2)</f>
        <v>100</v>
      </c>
    </row>
    <row r="49" spans="1:7" ht="14.25" customHeight="1">
      <c r="A49" s="1806"/>
      <c r="B49" s="1807"/>
      <c r="C49" s="1236" t="s">
        <v>1081</v>
      </c>
      <c r="D49" s="1234">
        <f t="shared" si="0"/>
        <v>2356571</v>
      </c>
      <c r="E49" s="1234">
        <f t="shared" si="0"/>
        <v>607923</v>
      </c>
      <c r="F49" s="463">
        <f>D49+E49</f>
        <v>2964494</v>
      </c>
      <c r="G49" s="1235">
        <f>ROUND(F49/$F$49*100,2)</f>
        <v>100</v>
      </c>
    </row>
    <row r="50" spans="1:7">
      <c r="E50" s="1805" t="s">
        <v>1186</v>
      </c>
      <c r="F50" s="1805"/>
      <c r="G50" s="1805"/>
    </row>
    <row r="54" spans="1:7">
      <c r="D54" s="139"/>
    </row>
    <row r="58" spans="1:7">
      <c r="A58" s="1"/>
      <c r="B58" s="1"/>
      <c r="C58" s="1"/>
      <c r="D58" s="1"/>
      <c r="E58" s="1"/>
      <c r="F58" s="1"/>
      <c r="G58" s="1"/>
    </row>
  </sheetData>
  <mergeCells count="44">
    <mergeCell ref="D25:F26"/>
    <mergeCell ref="G25:G27"/>
    <mergeCell ref="A23:B23"/>
    <mergeCell ref="A24:B24"/>
    <mergeCell ref="A28:C28"/>
    <mergeCell ref="A25:C27"/>
    <mergeCell ref="E50:G50"/>
    <mergeCell ref="A30:B30"/>
    <mergeCell ref="A33:B33"/>
    <mergeCell ref="A31:B31"/>
    <mergeCell ref="A32:B32"/>
    <mergeCell ref="A39:B39"/>
    <mergeCell ref="A40:B40"/>
    <mergeCell ref="A35:B35"/>
    <mergeCell ref="A36:B36"/>
    <mergeCell ref="A38:B38"/>
    <mergeCell ref="A41:B41"/>
    <mergeCell ref="A48:B48"/>
    <mergeCell ref="A49:B49"/>
    <mergeCell ref="A47:B47"/>
    <mergeCell ref="A42:B42"/>
    <mergeCell ref="A45:B45"/>
    <mergeCell ref="A1:G1"/>
    <mergeCell ref="A11:B11"/>
    <mergeCell ref="A13:B13"/>
    <mergeCell ref="A16:B16"/>
    <mergeCell ref="A14:B14"/>
    <mergeCell ref="A15:B15"/>
    <mergeCell ref="G4:G6"/>
    <mergeCell ref="A2:G2"/>
    <mergeCell ref="A7:C7"/>
    <mergeCell ref="A4:C6"/>
    <mergeCell ref="D4:F5"/>
    <mergeCell ref="A9:B9"/>
    <mergeCell ref="A12:B12"/>
    <mergeCell ref="A10:B10"/>
    <mergeCell ref="A43:B43"/>
    <mergeCell ref="A44:B44"/>
    <mergeCell ref="A34:B34"/>
    <mergeCell ref="A37:B37"/>
    <mergeCell ref="A18:B18"/>
    <mergeCell ref="A19:B19"/>
    <mergeCell ref="A20:B20"/>
    <mergeCell ref="A22:B22"/>
  </mergeCells>
  <phoneticPr fontId="0" type="noConversion"/>
  <printOptions horizontalCentered="1"/>
  <pageMargins left="0.1" right="0.1" top="0.77" bottom="0.1" header="0.5" footer="0.1"/>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sheetPr codeName="Sheet18"/>
  <dimension ref="A1:H56"/>
  <sheetViews>
    <sheetView workbookViewId="0">
      <selection activeCell="J11" sqref="J11"/>
    </sheetView>
  </sheetViews>
  <sheetFormatPr defaultRowHeight="12.75"/>
  <cols>
    <col min="1" max="1" width="18.5703125" customWidth="1"/>
    <col min="2" max="2" width="10.42578125" customWidth="1"/>
    <col min="3" max="4" width="10.28515625" customWidth="1"/>
    <col min="5" max="5" width="10.7109375" customWidth="1"/>
    <col min="6" max="6" width="10.42578125" customWidth="1"/>
    <col min="7" max="7" width="10.5703125" customWidth="1"/>
  </cols>
  <sheetData>
    <row r="1" spans="1:8">
      <c r="A1" s="1708" t="s">
        <v>210</v>
      </c>
      <c r="B1" s="1708"/>
      <c r="C1" s="1708"/>
      <c r="D1" s="1708"/>
      <c r="E1" s="1708"/>
      <c r="F1" s="1708"/>
      <c r="G1" s="1708"/>
    </row>
    <row r="2" spans="1:8" ht="34.5" customHeight="1">
      <c r="A2" s="1760" t="str">
        <f>CONCATENATE("Scheduled Caste and Scheduled Tribe Population by sex 
in the district of ",District!$A$1,", 2011")</f>
        <v>Scheduled Caste and Scheduled Tribe Population by sex 
in the district of South 24-Parganas, 2011</v>
      </c>
      <c r="B2" s="1760"/>
      <c r="C2" s="1760"/>
      <c r="D2" s="1760"/>
      <c r="E2" s="1760"/>
      <c r="F2" s="1760"/>
      <c r="G2" s="1760"/>
      <c r="H2" s="20"/>
    </row>
    <row r="3" spans="1:8">
      <c r="B3" s="3"/>
      <c r="C3" s="3"/>
      <c r="D3" s="3"/>
      <c r="E3" s="3"/>
      <c r="F3" s="3"/>
      <c r="G3" s="95" t="s">
        <v>977</v>
      </c>
    </row>
    <row r="4" spans="1:8" ht="15" customHeight="1">
      <c r="A4" s="1737" t="s">
        <v>1355</v>
      </c>
      <c r="B4" s="1810" t="s">
        <v>457</v>
      </c>
      <c r="C4" s="1810"/>
      <c r="D4" s="1811"/>
      <c r="E4" s="1810" t="s">
        <v>458</v>
      </c>
      <c r="F4" s="1810"/>
      <c r="G4" s="1811"/>
    </row>
    <row r="5" spans="1:8" ht="15" customHeight="1">
      <c r="A5" s="1738"/>
      <c r="B5" s="336" t="s">
        <v>1003</v>
      </c>
      <c r="C5" s="336" t="s">
        <v>1004</v>
      </c>
      <c r="D5" s="338" t="s">
        <v>958</v>
      </c>
      <c r="E5" s="336" t="s">
        <v>1003</v>
      </c>
      <c r="F5" s="336" t="s">
        <v>1004</v>
      </c>
      <c r="G5" s="338" t="s">
        <v>958</v>
      </c>
    </row>
    <row r="6" spans="1:8" ht="15" customHeight="1">
      <c r="A6" s="199" t="s">
        <v>928</v>
      </c>
      <c r="B6" s="119" t="s">
        <v>929</v>
      </c>
      <c r="C6" s="119" t="s">
        <v>930</v>
      </c>
      <c r="D6" s="120" t="s">
        <v>931</v>
      </c>
      <c r="E6" s="119" t="s">
        <v>932</v>
      </c>
      <c r="F6" s="119" t="s">
        <v>933</v>
      </c>
      <c r="G6" s="120" t="s">
        <v>934</v>
      </c>
    </row>
    <row r="7" spans="1:8" ht="14.25" customHeight="1">
      <c r="A7" s="1261" t="s">
        <v>756</v>
      </c>
      <c r="B7" s="1439">
        <f t="shared" ref="B7:G7" si="0">SUM(B8:B15)</f>
        <v>168613</v>
      </c>
      <c r="C7" s="1440">
        <f t="shared" si="0"/>
        <v>161187</v>
      </c>
      <c r="D7" s="1262">
        <f t="shared" si="0"/>
        <v>329800</v>
      </c>
      <c r="E7" s="1440">
        <f t="shared" si="0"/>
        <v>2093</v>
      </c>
      <c r="F7" s="1440">
        <f t="shared" si="0"/>
        <v>2005</v>
      </c>
      <c r="G7" s="1262">
        <f t="shared" si="0"/>
        <v>4098</v>
      </c>
    </row>
    <row r="8" spans="1:8" ht="14.25" customHeight="1">
      <c r="A8" s="1264" t="s">
        <v>757</v>
      </c>
      <c r="B8" s="261">
        <v>30943</v>
      </c>
      <c r="C8" s="39">
        <v>29429</v>
      </c>
      <c r="D8" s="82">
        <f>B8+C8</f>
        <v>60372</v>
      </c>
      <c r="E8" s="39">
        <v>262</v>
      </c>
      <c r="F8" s="39">
        <v>243</v>
      </c>
      <c r="G8" s="82">
        <f>E8+F8</f>
        <v>505</v>
      </c>
    </row>
    <row r="9" spans="1:8" ht="14.25" customHeight="1">
      <c r="A9" s="1265" t="s">
        <v>1214</v>
      </c>
      <c r="B9" s="261">
        <v>55526</v>
      </c>
      <c r="C9" s="39">
        <v>52906</v>
      </c>
      <c r="D9" s="82">
        <f t="shared" ref="D9:D15" si="1">B9+C9</f>
        <v>108432</v>
      </c>
      <c r="E9" s="39">
        <v>48</v>
      </c>
      <c r="F9" s="39">
        <v>52</v>
      </c>
      <c r="G9" s="82">
        <f t="shared" ref="G9:G15" si="2">E9+F9</f>
        <v>100</v>
      </c>
    </row>
    <row r="10" spans="1:8" ht="14.25" customHeight="1">
      <c r="A10" s="1265" t="s">
        <v>1211</v>
      </c>
      <c r="B10" s="261">
        <v>17114</v>
      </c>
      <c r="C10" s="39">
        <v>16264</v>
      </c>
      <c r="D10" s="82">
        <f t="shared" si="1"/>
        <v>33378</v>
      </c>
      <c r="E10" s="39">
        <v>43</v>
      </c>
      <c r="F10" s="39">
        <v>44</v>
      </c>
      <c r="G10" s="82">
        <f t="shared" si="2"/>
        <v>87</v>
      </c>
    </row>
    <row r="11" spans="1:8" ht="14.25" customHeight="1">
      <c r="A11" s="1265" t="s">
        <v>1212</v>
      </c>
      <c r="B11" s="261">
        <v>11319</v>
      </c>
      <c r="C11" s="39">
        <v>10664</v>
      </c>
      <c r="D11" s="82">
        <f t="shared" si="1"/>
        <v>21983</v>
      </c>
      <c r="E11" s="39">
        <v>82</v>
      </c>
      <c r="F11" s="39">
        <v>88</v>
      </c>
      <c r="G11" s="82">
        <f t="shared" si="2"/>
        <v>170</v>
      </c>
    </row>
    <row r="12" spans="1:8" ht="14.25" customHeight="1">
      <c r="A12" s="1265" t="s">
        <v>1213</v>
      </c>
      <c r="B12" s="261">
        <v>19582</v>
      </c>
      <c r="C12" s="39">
        <v>18913</v>
      </c>
      <c r="D12" s="82">
        <f t="shared" si="1"/>
        <v>38495</v>
      </c>
      <c r="E12" s="39">
        <v>119</v>
      </c>
      <c r="F12" s="39">
        <v>143</v>
      </c>
      <c r="G12" s="82">
        <f t="shared" si="2"/>
        <v>262</v>
      </c>
    </row>
    <row r="13" spans="1:8" ht="14.25" customHeight="1">
      <c r="A13" s="1265" t="s">
        <v>1215</v>
      </c>
      <c r="B13" s="261">
        <v>3567</v>
      </c>
      <c r="C13" s="39">
        <v>3448</v>
      </c>
      <c r="D13" s="82">
        <f t="shared" si="1"/>
        <v>7015</v>
      </c>
      <c r="E13" s="39">
        <v>52</v>
      </c>
      <c r="F13" s="39">
        <v>51</v>
      </c>
      <c r="G13" s="82">
        <f t="shared" si="2"/>
        <v>103</v>
      </c>
    </row>
    <row r="14" spans="1:8" ht="14.25" customHeight="1">
      <c r="A14" s="1265" t="s">
        <v>1216</v>
      </c>
      <c r="B14" s="261">
        <v>27765</v>
      </c>
      <c r="C14" s="39">
        <v>26880</v>
      </c>
      <c r="D14" s="82">
        <f t="shared" si="1"/>
        <v>54645</v>
      </c>
      <c r="E14" s="39">
        <v>976</v>
      </c>
      <c r="F14" s="39">
        <v>958</v>
      </c>
      <c r="G14" s="82">
        <f t="shared" si="2"/>
        <v>1934</v>
      </c>
    </row>
    <row r="15" spans="1:8" ht="14.25" customHeight="1">
      <c r="A15" s="1265" t="s">
        <v>1217</v>
      </c>
      <c r="B15" s="261">
        <v>2797</v>
      </c>
      <c r="C15" s="39">
        <v>2683</v>
      </c>
      <c r="D15" s="82">
        <f t="shared" si="1"/>
        <v>5480</v>
      </c>
      <c r="E15" s="39">
        <v>511</v>
      </c>
      <c r="F15" s="39">
        <v>426</v>
      </c>
      <c r="G15" s="82">
        <f t="shared" si="2"/>
        <v>937</v>
      </c>
    </row>
    <row r="16" spans="1:8" ht="14.25" customHeight="1">
      <c r="A16" s="220" t="s">
        <v>1192</v>
      </c>
      <c r="B16" s="1441">
        <f t="shared" ref="B16:G16" si="3">SUM(B17:B26)</f>
        <v>397100</v>
      </c>
      <c r="C16" s="353">
        <f t="shared" si="3"/>
        <v>375659</v>
      </c>
      <c r="D16" s="1263">
        <f t="shared" si="3"/>
        <v>772759</v>
      </c>
      <c r="E16" s="353">
        <f t="shared" si="3"/>
        <v>9579</v>
      </c>
      <c r="F16" s="353">
        <f t="shared" si="3"/>
        <v>9139</v>
      </c>
      <c r="G16" s="1263">
        <f t="shared" si="3"/>
        <v>18718</v>
      </c>
    </row>
    <row r="17" spans="1:7" ht="14.25" customHeight="1">
      <c r="A17" s="1265" t="s">
        <v>1218</v>
      </c>
      <c r="B17" s="261">
        <v>59787</v>
      </c>
      <c r="C17" s="39">
        <v>57163</v>
      </c>
      <c r="D17" s="82">
        <f>B17+C17</f>
        <v>116950</v>
      </c>
      <c r="E17" s="39">
        <v>1570</v>
      </c>
      <c r="F17" s="39">
        <v>1499</v>
      </c>
      <c r="G17" s="82">
        <f>E17+F17</f>
        <v>3069</v>
      </c>
    </row>
    <row r="18" spans="1:7" ht="14.25" customHeight="1">
      <c r="A18" s="1265" t="s">
        <v>1220</v>
      </c>
      <c r="B18" s="261">
        <v>52940</v>
      </c>
      <c r="C18" s="39">
        <v>49705</v>
      </c>
      <c r="D18" s="82">
        <f t="shared" ref="D18:D26" si="4">B18+C18</f>
        <v>102645</v>
      </c>
      <c r="E18" s="39">
        <v>44</v>
      </c>
      <c r="F18" s="39">
        <v>36</v>
      </c>
      <c r="G18" s="82">
        <f t="shared" ref="G18:G25" si="5">E18+F18</f>
        <v>80</v>
      </c>
    </row>
    <row r="19" spans="1:7" ht="14.25" customHeight="1">
      <c r="A19" s="1265" t="s">
        <v>1219</v>
      </c>
      <c r="B19" s="261">
        <v>43887</v>
      </c>
      <c r="C19" s="39">
        <v>41700</v>
      </c>
      <c r="D19" s="82">
        <f t="shared" si="4"/>
        <v>85587</v>
      </c>
      <c r="E19" s="39">
        <v>553</v>
      </c>
      <c r="F19" s="39">
        <v>493</v>
      </c>
      <c r="G19" s="82">
        <f t="shared" si="5"/>
        <v>1046</v>
      </c>
    </row>
    <row r="20" spans="1:7" ht="14.25" customHeight="1">
      <c r="A20" s="1265" t="s">
        <v>1194</v>
      </c>
      <c r="B20" s="261">
        <v>53940</v>
      </c>
      <c r="C20" s="39">
        <v>50253</v>
      </c>
      <c r="D20" s="82">
        <f t="shared" si="4"/>
        <v>104193</v>
      </c>
      <c r="E20" s="39">
        <v>2902</v>
      </c>
      <c r="F20" s="39">
        <v>2770</v>
      </c>
      <c r="G20" s="82">
        <f t="shared" si="5"/>
        <v>5672</v>
      </c>
    </row>
    <row r="21" spans="1:7" ht="14.25" customHeight="1">
      <c r="A21" s="1265" t="s">
        <v>1221</v>
      </c>
      <c r="B21" s="261">
        <v>85122</v>
      </c>
      <c r="C21" s="39">
        <v>80415</v>
      </c>
      <c r="D21" s="82">
        <f t="shared" si="4"/>
        <v>165537</v>
      </c>
      <c r="E21" s="39">
        <v>627</v>
      </c>
      <c r="F21" s="39">
        <v>518</v>
      </c>
      <c r="G21" s="82">
        <f t="shared" si="5"/>
        <v>1145</v>
      </c>
    </row>
    <row r="22" spans="1:7" ht="14.25" customHeight="1">
      <c r="A22" s="1265" t="s">
        <v>761</v>
      </c>
      <c r="B22" s="261">
        <v>27091</v>
      </c>
      <c r="C22" s="39">
        <v>25221</v>
      </c>
      <c r="D22" s="82">
        <f t="shared" si="4"/>
        <v>52312</v>
      </c>
      <c r="E22" s="39">
        <v>1591</v>
      </c>
      <c r="F22" s="39">
        <v>1542</v>
      </c>
      <c r="G22" s="82">
        <f t="shared" si="5"/>
        <v>3133</v>
      </c>
    </row>
    <row r="23" spans="1:7" ht="14.25" customHeight="1">
      <c r="A23" s="1265" t="s">
        <v>762</v>
      </c>
      <c r="B23" s="261">
        <v>24883</v>
      </c>
      <c r="C23" s="39">
        <v>24010</v>
      </c>
      <c r="D23" s="82">
        <f t="shared" si="4"/>
        <v>48893</v>
      </c>
      <c r="E23" s="39">
        <v>924</v>
      </c>
      <c r="F23" s="39">
        <v>968</v>
      </c>
      <c r="G23" s="82">
        <f t="shared" si="5"/>
        <v>1892</v>
      </c>
    </row>
    <row r="24" spans="1:7" ht="14.25" customHeight="1">
      <c r="A24" s="1265" t="s">
        <v>758</v>
      </c>
      <c r="B24" s="261">
        <v>2515</v>
      </c>
      <c r="C24" s="39">
        <v>2315</v>
      </c>
      <c r="D24" s="82">
        <f t="shared" si="4"/>
        <v>4830</v>
      </c>
      <c r="E24" s="39">
        <v>14</v>
      </c>
      <c r="F24" s="39">
        <v>10</v>
      </c>
      <c r="G24" s="82">
        <f t="shared" si="5"/>
        <v>24</v>
      </c>
    </row>
    <row r="25" spans="1:7" ht="14.25" customHeight="1">
      <c r="A25" s="1265" t="s">
        <v>1222</v>
      </c>
      <c r="B25" s="261">
        <v>6657</v>
      </c>
      <c r="C25" s="39">
        <v>6500</v>
      </c>
      <c r="D25" s="82">
        <f t="shared" si="4"/>
        <v>13157</v>
      </c>
      <c r="E25" s="39">
        <v>157</v>
      </c>
      <c r="F25" s="39">
        <v>160</v>
      </c>
      <c r="G25" s="82">
        <f t="shared" si="5"/>
        <v>317</v>
      </c>
    </row>
    <row r="26" spans="1:7" ht="14.25" customHeight="1">
      <c r="A26" s="1265" t="s">
        <v>1736</v>
      </c>
      <c r="B26" s="261">
        <v>40278</v>
      </c>
      <c r="C26" s="39">
        <v>38377</v>
      </c>
      <c r="D26" s="82">
        <f t="shared" si="4"/>
        <v>78655</v>
      </c>
      <c r="E26" s="39">
        <v>1197</v>
      </c>
      <c r="F26" s="39">
        <v>1143</v>
      </c>
      <c r="G26" s="82">
        <v>2340</v>
      </c>
    </row>
    <row r="27" spans="1:7" ht="14.25" customHeight="1">
      <c r="A27" s="219" t="s">
        <v>1195</v>
      </c>
      <c r="B27" s="1441">
        <f t="shared" ref="B27:G27" si="6">SUM(B28:B31)</f>
        <v>242707</v>
      </c>
      <c r="C27" s="353">
        <f t="shared" si="6"/>
        <v>229273</v>
      </c>
      <c r="D27" s="1263">
        <f t="shared" si="6"/>
        <v>471980</v>
      </c>
      <c r="E27" s="353">
        <f t="shared" si="6"/>
        <v>31391</v>
      </c>
      <c r="F27" s="353">
        <f t="shared" si="6"/>
        <v>30632</v>
      </c>
      <c r="G27" s="1263">
        <f t="shared" si="6"/>
        <v>62023</v>
      </c>
    </row>
    <row r="28" spans="1:7" ht="14.25" customHeight="1">
      <c r="A28" s="1265" t="s">
        <v>1223</v>
      </c>
      <c r="B28" s="261">
        <v>74476</v>
      </c>
      <c r="C28" s="39">
        <v>70430</v>
      </c>
      <c r="D28" s="82">
        <f>B28+C28</f>
        <v>144906</v>
      </c>
      <c r="E28" s="39">
        <v>1891</v>
      </c>
      <c r="F28" s="39">
        <v>1819</v>
      </c>
      <c r="G28" s="82">
        <f>E28+F28</f>
        <v>3710</v>
      </c>
    </row>
    <row r="29" spans="1:7" ht="14.25" customHeight="1">
      <c r="A29" s="1265" t="s">
        <v>1224</v>
      </c>
      <c r="B29" s="261">
        <v>27297</v>
      </c>
      <c r="C29" s="39">
        <v>25562</v>
      </c>
      <c r="D29" s="82">
        <f>B29+C29</f>
        <v>52859</v>
      </c>
      <c r="E29" s="39">
        <v>7544</v>
      </c>
      <c r="F29" s="39">
        <v>7366</v>
      </c>
      <c r="G29" s="82">
        <f>E29+F29</f>
        <v>14910</v>
      </c>
    </row>
    <row r="30" spans="1:7" ht="14.25" customHeight="1">
      <c r="A30" s="1265" t="s">
        <v>1197</v>
      </c>
      <c r="B30" s="261">
        <v>61616</v>
      </c>
      <c r="C30" s="39">
        <v>58015</v>
      </c>
      <c r="D30" s="82">
        <f>B30+C30</f>
        <v>119631</v>
      </c>
      <c r="E30" s="39">
        <v>10190</v>
      </c>
      <c r="F30" s="39">
        <v>9870</v>
      </c>
      <c r="G30" s="82">
        <f>E30+F30</f>
        <v>20060</v>
      </c>
    </row>
    <row r="31" spans="1:7" ht="14.25" customHeight="1">
      <c r="A31" s="1265" t="s">
        <v>1198</v>
      </c>
      <c r="B31" s="261">
        <v>79318</v>
      </c>
      <c r="C31" s="39">
        <v>75266</v>
      </c>
      <c r="D31" s="82">
        <f>B31+C31</f>
        <v>154584</v>
      </c>
      <c r="E31" s="39">
        <v>11766</v>
      </c>
      <c r="F31" s="39">
        <v>11577</v>
      </c>
      <c r="G31" s="82">
        <f>E31+F31</f>
        <v>23343</v>
      </c>
    </row>
    <row r="32" spans="1:7" ht="14.25" customHeight="1">
      <c r="A32" s="220" t="s">
        <v>1199</v>
      </c>
      <c r="B32" s="1441">
        <f t="shared" ref="B32:G32" si="7">SUM(B33:B42)</f>
        <v>315661</v>
      </c>
      <c r="C32" s="353">
        <f t="shared" si="7"/>
        <v>296204</v>
      </c>
      <c r="D32" s="1263">
        <f t="shared" si="7"/>
        <v>611865</v>
      </c>
      <c r="E32" s="353">
        <f t="shared" si="7"/>
        <v>3086</v>
      </c>
      <c r="F32" s="353">
        <f t="shared" si="7"/>
        <v>2980</v>
      </c>
      <c r="G32" s="1263">
        <f t="shared" si="7"/>
        <v>6066</v>
      </c>
    </row>
    <row r="33" spans="1:7" ht="14.25" customHeight="1">
      <c r="A33" s="1265" t="s">
        <v>1225</v>
      </c>
      <c r="B33" s="261">
        <v>28333</v>
      </c>
      <c r="C33" s="39">
        <v>26858</v>
      </c>
      <c r="D33" s="82">
        <f>B33+C33</f>
        <v>55191</v>
      </c>
      <c r="E33" s="39">
        <v>86</v>
      </c>
      <c r="F33" s="39">
        <v>86</v>
      </c>
      <c r="G33" s="82">
        <f>E33+F33</f>
        <v>172</v>
      </c>
    </row>
    <row r="34" spans="1:7" ht="14.25" customHeight="1">
      <c r="A34" s="1265" t="s">
        <v>1226</v>
      </c>
      <c r="B34" s="261">
        <v>54472</v>
      </c>
      <c r="C34" s="39">
        <v>50988</v>
      </c>
      <c r="D34" s="82">
        <f t="shared" ref="D34:D42" si="8">B34+C34</f>
        <v>105460</v>
      </c>
      <c r="E34" s="39">
        <v>83</v>
      </c>
      <c r="F34" s="39">
        <v>76</v>
      </c>
      <c r="G34" s="82">
        <f t="shared" ref="G34:G42" si="9">E34+F34</f>
        <v>159</v>
      </c>
    </row>
    <row r="35" spans="1:7" ht="14.25" customHeight="1">
      <c r="A35" s="1265" t="s">
        <v>837</v>
      </c>
      <c r="B35" s="261">
        <v>47295</v>
      </c>
      <c r="C35" s="39">
        <v>43660</v>
      </c>
      <c r="D35" s="82">
        <f t="shared" si="8"/>
        <v>90955</v>
      </c>
      <c r="E35" s="39">
        <v>16</v>
      </c>
      <c r="F35" s="39">
        <v>15</v>
      </c>
      <c r="G35" s="82">
        <f t="shared" si="9"/>
        <v>31</v>
      </c>
    </row>
    <row r="36" spans="1:7" ht="14.25" customHeight="1">
      <c r="A36" s="1265" t="s">
        <v>1203</v>
      </c>
      <c r="B36" s="261">
        <v>43456</v>
      </c>
      <c r="C36" s="39">
        <v>40564</v>
      </c>
      <c r="D36" s="82">
        <f t="shared" si="8"/>
        <v>84020</v>
      </c>
      <c r="E36" s="39">
        <v>150</v>
      </c>
      <c r="F36" s="39">
        <v>165</v>
      </c>
      <c r="G36" s="82">
        <f t="shared" si="9"/>
        <v>315</v>
      </c>
    </row>
    <row r="37" spans="1:7" ht="14.25" customHeight="1">
      <c r="A37" s="1265" t="s">
        <v>1204</v>
      </c>
      <c r="B37" s="261">
        <v>31004</v>
      </c>
      <c r="C37" s="39">
        <v>29272</v>
      </c>
      <c r="D37" s="82">
        <f t="shared" si="8"/>
        <v>60276</v>
      </c>
      <c r="E37" s="39">
        <v>46</v>
      </c>
      <c r="F37" s="39">
        <v>41</v>
      </c>
      <c r="G37" s="82">
        <f t="shared" si="9"/>
        <v>87</v>
      </c>
    </row>
    <row r="38" spans="1:7" ht="14.25" customHeight="1">
      <c r="A38" s="1265" t="s">
        <v>1744</v>
      </c>
      <c r="B38" s="261">
        <v>14951</v>
      </c>
      <c r="C38" s="39">
        <v>14147</v>
      </c>
      <c r="D38" s="82">
        <f t="shared" si="8"/>
        <v>29098</v>
      </c>
      <c r="E38" s="39">
        <v>8</v>
      </c>
      <c r="F38" s="39">
        <v>4</v>
      </c>
      <c r="G38" s="82">
        <f t="shared" si="9"/>
        <v>12</v>
      </c>
    </row>
    <row r="39" spans="1:7" ht="14.25" customHeight="1">
      <c r="A39" s="1265" t="s">
        <v>1745</v>
      </c>
      <c r="B39" s="261">
        <v>25839</v>
      </c>
      <c r="C39" s="39">
        <v>24827</v>
      </c>
      <c r="D39" s="82">
        <f t="shared" si="8"/>
        <v>50666</v>
      </c>
      <c r="E39" s="39">
        <v>44</v>
      </c>
      <c r="F39" s="39">
        <v>35</v>
      </c>
      <c r="G39" s="82">
        <f t="shared" si="9"/>
        <v>79</v>
      </c>
    </row>
    <row r="40" spans="1:7" ht="14.25" customHeight="1">
      <c r="A40" s="1265" t="s">
        <v>1227</v>
      </c>
      <c r="B40" s="261">
        <v>35480</v>
      </c>
      <c r="C40" s="39">
        <v>33156</v>
      </c>
      <c r="D40" s="82">
        <f t="shared" si="8"/>
        <v>68636</v>
      </c>
      <c r="E40" s="39">
        <v>244</v>
      </c>
      <c r="F40" s="39">
        <v>252</v>
      </c>
      <c r="G40" s="82">
        <f t="shared" si="9"/>
        <v>496</v>
      </c>
    </row>
    <row r="41" spans="1:7" ht="14.25" customHeight="1">
      <c r="A41" s="1265" t="s">
        <v>1228</v>
      </c>
      <c r="B41" s="261">
        <v>32154</v>
      </c>
      <c r="C41" s="39">
        <v>30188</v>
      </c>
      <c r="D41" s="82">
        <f t="shared" si="8"/>
        <v>62342</v>
      </c>
      <c r="E41" s="39">
        <v>2375</v>
      </c>
      <c r="F41" s="39">
        <v>2268</v>
      </c>
      <c r="G41" s="82">
        <f t="shared" si="9"/>
        <v>4643</v>
      </c>
    </row>
    <row r="42" spans="1:7" ht="14.25" customHeight="1">
      <c r="A42" s="1265" t="s">
        <v>863</v>
      </c>
      <c r="B42" s="261">
        <v>2677</v>
      </c>
      <c r="C42" s="39">
        <v>2544</v>
      </c>
      <c r="D42" s="82">
        <f t="shared" si="8"/>
        <v>5221</v>
      </c>
      <c r="E42" s="39">
        <v>34</v>
      </c>
      <c r="F42" s="39">
        <v>38</v>
      </c>
      <c r="G42" s="82">
        <f t="shared" si="9"/>
        <v>72</v>
      </c>
    </row>
    <row r="43" spans="1:7" ht="14.25" customHeight="1">
      <c r="A43" s="220" t="s">
        <v>1561</v>
      </c>
      <c r="B43" s="1441">
        <f>SUM(B44:B47)</f>
        <v>142423</v>
      </c>
      <c r="C43" s="353">
        <f>SUM(C44:C47)</f>
        <v>135205</v>
      </c>
      <c r="D43" s="354">
        <f>B43+C43</f>
        <v>277628</v>
      </c>
      <c r="E43" s="353">
        <f>SUM(E44:E47)</f>
        <v>3046</v>
      </c>
      <c r="F43" s="353">
        <f>SUM(F44:F47)</f>
        <v>3025</v>
      </c>
      <c r="G43" s="354">
        <f>E43+F43</f>
        <v>6071</v>
      </c>
    </row>
    <row r="44" spans="1:7" ht="14.25" customHeight="1">
      <c r="A44" s="1266" t="s">
        <v>1205</v>
      </c>
      <c r="B44" s="261">
        <v>50564</v>
      </c>
      <c r="C44" s="39">
        <v>47380</v>
      </c>
      <c r="D44" s="82">
        <f>B44+C44</f>
        <v>97944</v>
      </c>
      <c r="E44" s="39">
        <v>907</v>
      </c>
      <c r="F44" s="39">
        <v>929</v>
      </c>
      <c r="G44" s="82">
        <f>E44+F44</f>
        <v>1836</v>
      </c>
    </row>
    <row r="45" spans="1:7" ht="14.25" customHeight="1">
      <c r="A45" s="1266" t="s">
        <v>1206</v>
      </c>
      <c r="B45" s="261">
        <v>24051</v>
      </c>
      <c r="C45" s="39">
        <v>23209</v>
      </c>
      <c r="D45" s="82">
        <f>B45+C45</f>
        <v>47260</v>
      </c>
      <c r="E45" s="39">
        <v>358</v>
      </c>
      <c r="F45" s="39">
        <v>383</v>
      </c>
      <c r="G45" s="82">
        <f>E45+F45</f>
        <v>741</v>
      </c>
    </row>
    <row r="46" spans="1:7" ht="14.25" customHeight="1">
      <c r="A46" s="1266" t="s">
        <v>1207</v>
      </c>
      <c r="B46" s="261">
        <v>29081</v>
      </c>
      <c r="C46" s="39">
        <v>27180</v>
      </c>
      <c r="D46" s="82">
        <f>B46+C46</f>
        <v>56261</v>
      </c>
      <c r="E46" s="39">
        <v>452</v>
      </c>
      <c r="F46" s="39">
        <v>402</v>
      </c>
      <c r="G46" s="82">
        <f>E46+F46</f>
        <v>854</v>
      </c>
    </row>
    <row r="47" spans="1:7" ht="14.25" customHeight="1">
      <c r="A47" s="1267" t="s">
        <v>1208</v>
      </c>
      <c r="B47" s="261">
        <v>38727</v>
      </c>
      <c r="C47" s="39">
        <v>37436</v>
      </c>
      <c r="D47" s="82">
        <f>B47+C47</f>
        <v>76163</v>
      </c>
      <c r="E47" s="39">
        <v>1329</v>
      </c>
      <c r="F47" s="39">
        <v>1311</v>
      </c>
      <c r="G47" s="82">
        <f>E47+F47</f>
        <v>2640</v>
      </c>
    </row>
    <row r="48" spans="1:7" ht="15" customHeight="1">
      <c r="A48" s="1268" t="s">
        <v>1406</v>
      </c>
      <c r="B48" s="661"/>
      <c r="C48" s="308"/>
      <c r="D48" s="305"/>
      <c r="E48" s="308"/>
      <c r="F48" s="308"/>
      <c r="G48" s="305"/>
    </row>
    <row r="49" spans="1:7" ht="15" customHeight="1">
      <c r="A49" s="410" t="s">
        <v>1092</v>
      </c>
      <c r="B49" s="1442">
        <f t="shared" ref="B49:G49" si="10">SUM(B43,B32,B27,B16,B7)</f>
        <v>1266504</v>
      </c>
      <c r="C49" s="575">
        <f t="shared" si="10"/>
        <v>1197528</v>
      </c>
      <c r="D49" s="1269">
        <f t="shared" si="10"/>
        <v>2464032</v>
      </c>
      <c r="E49" s="575">
        <f t="shared" si="10"/>
        <v>49195</v>
      </c>
      <c r="F49" s="575">
        <f t="shared" si="10"/>
        <v>47781</v>
      </c>
      <c r="G49" s="1269">
        <f t="shared" si="10"/>
        <v>96976</v>
      </c>
    </row>
    <row r="50" spans="1:7" ht="15" customHeight="1">
      <c r="A50" s="1385" t="s">
        <v>1093</v>
      </c>
      <c r="B50" s="1443">
        <v>1061324</v>
      </c>
      <c r="C50" s="1386">
        <v>1000973</v>
      </c>
      <c r="D50" s="1387">
        <f>SUM(B50:C50)</f>
        <v>2062297</v>
      </c>
      <c r="E50" s="1386">
        <v>45554</v>
      </c>
      <c r="F50" s="1386">
        <v>44335</v>
      </c>
      <c r="G50" s="1387">
        <f>SUM(E50:F50)</f>
        <v>89889</v>
      </c>
    </row>
    <row r="51" spans="1:7" ht="15" customHeight="1">
      <c r="A51" s="601" t="s">
        <v>1094</v>
      </c>
      <c r="B51" s="1444">
        <v>205180</v>
      </c>
      <c r="C51" s="1388">
        <v>196555</v>
      </c>
      <c r="D51" s="1389">
        <f>SUM(B51:C51)</f>
        <v>401735</v>
      </c>
      <c r="E51" s="1388">
        <v>3641</v>
      </c>
      <c r="F51" s="1388">
        <v>3446</v>
      </c>
      <c r="G51" s="1389">
        <f>SUM(E51:F51)</f>
        <v>7087</v>
      </c>
    </row>
    <row r="52" spans="1:7">
      <c r="E52" s="1805" t="s">
        <v>1186</v>
      </c>
      <c r="F52" s="1805"/>
      <c r="G52" s="1805"/>
    </row>
    <row r="54" spans="1:7">
      <c r="A54" s="1"/>
      <c r="B54" s="1"/>
      <c r="C54" s="1"/>
      <c r="D54" s="1"/>
      <c r="E54" s="1"/>
      <c r="F54" s="1"/>
      <c r="G54" s="1"/>
    </row>
    <row r="56" spans="1:7">
      <c r="B56" s="159"/>
    </row>
  </sheetData>
  <mergeCells count="6">
    <mergeCell ref="A1:G1"/>
    <mergeCell ref="E52:G52"/>
    <mergeCell ref="A2:G2"/>
    <mergeCell ref="A4:A5"/>
    <mergeCell ref="B4:D4"/>
    <mergeCell ref="E4:G4"/>
  </mergeCells>
  <phoneticPr fontId="0" type="noConversion"/>
  <printOptions horizontalCentered="1"/>
  <pageMargins left="0.1" right="0.1" top="0.56999999999999995" bottom="0.1" header="0.5" footer="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dimension ref="A3:K38"/>
  <sheetViews>
    <sheetView workbookViewId="0">
      <selection activeCell="L25" sqref="L25"/>
    </sheetView>
  </sheetViews>
  <sheetFormatPr defaultRowHeight="12.75"/>
  <sheetData>
    <row r="3" spans="1:11" ht="35.25">
      <c r="A3" s="1688" t="s">
        <v>480</v>
      </c>
      <c r="B3" s="1688"/>
      <c r="C3" s="1688"/>
      <c r="D3" s="1688"/>
      <c r="E3" s="1688"/>
      <c r="F3" s="1688"/>
      <c r="G3" s="1688"/>
      <c r="H3" s="1688"/>
      <c r="I3" s="1688"/>
      <c r="J3" s="1688"/>
    </row>
    <row r="7" spans="1:11" ht="35.25">
      <c r="A7" s="1689">
        <f>District!F6</f>
        <v>2014</v>
      </c>
      <c r="B7" s="1689"/>
      <c r="C7" s="1689"/>
      <c r="D7" s="1689"/>
      <c r="E7" s="1689"/>
      <c r="F7" s="1689"/>
      <c r="G7" s="1689"/>
      <c r="H7" s="1689"/>
      <c r="I7" s="1689"/>
      <c r="J7" s="1689"/>
    </row>
    <row r="9" spans="1:11" ht="23.25">
      <c r="I9" s="326"/>
      <c r="J9" s="326"/>
      <c r="K9" s="326"/>
    </row>
    <row r="10" spans="1:11" ht="45">
      <c r="A10" s="1690" t="str">
        <f>District!A1</f>
        <v>South 24-Parganas</v>
      </c>
      <c r="B10" s="1690"/>
      <c r="C10" s="1690"/>
      <c r="D10" s="1690"/>
      <c r="E10" s="1690"/>
      <c r="F10" s="1690"/>
      <c r="G10" s="1690"/>
      <c r="H10" s="1690"/>
      <c r="I10" s="1690"/>
      <c r="J10" s="1690"/>
      <c r="K10" s="327"/>
    </row>
    <row r="36" spans="1:10" ht="20.25">
      <c r="A36" s="1684" t="s">
        <v>478</v>
      </c>
      <c r="B36" s="1684"/>
      <c r="C36" s="1684"/>
      <c r="D36" s="1684"/>
      <c r="E36" s="1684"/>
      <c r="F36" s="1684"/>
      <c r="G36" s="1684"/>
      <c r="H36" s="1684"/>
      <c r="I36" s="1684"/>
      <c r="J36" s="1684"/>
    </row>
    <row r="37" spans="1:10" ht="20.25" customHeight="1">
      <c r="A37" s="1687" t="s">
        <v>614</v>
      </c>
      <c r="B37" s="1687"/>
      <c r="C37" s="1687"/>
      <c r="D37" s="1687"/>
      <c r="E37" s="1687"/>
      <c r="F37" s="1687"/>
      <c r="G37" s="1687"/>
      <c r="H37" s="1687"/>
      <c r="I37" s="1687"/>
      <c r="J37" s="1687"/>
    </row>
    <row r="38" spans="1:10" ht="23.25">
      <c r="A38" s="1685" t="s">
        <v>479</v>
      </c>
      <c r="B38" s="1685"/>
      <c r="C38" s="1685"/>
      <c r="D38" s="1685"/>
      <c r="E38" s="1685"/>
      <c r="F38" s="1685"/>
      <c r="G38" s="1685"/>
      <c r="H38" s="1685"/>
      <c r="I38" s="1685"/>
      <c r="J38" s="1685"/>
    </row>
  </sheetData>
  <mergeCells count="6">
    <mergeCell ref="A38:J38"/>
    <mergeCell ref="A37:J37"/>
    <mergeCell ref="A3:J3"/>
    <mergeCell ref="A7:J7"/>
    <mergeCell ref="A10:J10"/>
    <mergeCell ref="A36:J36"/>
  </mergeCells>
  <phoneticPr fontId="0" type="noConversion"/>
  <printOptions horizontalCentered="1"/>
  <pageMargins left="0.28000000000000003" right="0.4" top="1" bottom="1" header="0.5" footer="0.5"/>
  <pageSetup paperSize="9" orientation="portrait" blackAndWhite="1" horizontalDpi="4294967295" r:id="rId1"/>
  <headerFooter alignWithMargins="0"/>
</worksheet>
</file>

<file path=xl/worksheets/sheet20.xml><?xml version="1.0" encoding="utf-8"?>
<worksheet xmlns="http://schemas.openxmlformats.org/spreadsheetml/2006/main" xmlns:r="http://schemas.openxmlformats.org/officeDocument/2006/relationships">
  <dimension ref="A1:E16"/>
  <sheetViews>
    <sheetView workbookViewId="0">
      <selection activeCell="J11" sqref="J11"/>
    </sheetView>
  </sheetViews>
  <sheetFormatPr defaultRowHeight="12.75"/>
  <cols>
    <col min="1" max="1" width="21.140625" customWidth="1"/>
    <col min="2" max="5" width="20.28515625" customWidth="1"/>
  </cols>
  <sheetData>
    <row r="1" spans="1:5" ht="21.75" customHeight="1">
      <c r="A1" s="1708" t="s">
        <v>348</v>
      </c>
      <c r="B1" s="1708"/>
      <c r="C1" s="1708"/>
      <c r="D1" s="1708"/>
      <c r="E1" s="1708"/>
    </row>
    <row r="2" spans="1:5" ht="22.5" customHeight="1">
      <c r="A2" s="1760" t="str">
        <f>CONCATENATE("Population by religion in the district of ",District!$A$1,", 1991 and 2001")</f>
        <v>Population by religion in the district of South 24-Parganas, 1991 and 2001</v>
      </c>
      <c r="B2" s="1760"/>
      <c r="C2" s="1760"/>
      <c r="D2" s="1760"/>
      <c r="E2" s="1760"/>
    </row>
    <row r="3" spans="1:5" ht="12.75" customHeight="1">
      <c r="A3" s="1371"/>
      <c r="B3" s="1370"/>
      <c r="C3" s="1370"/>
      <c r="D3" s="1817" t="s">
        <v>489</v>
      </c>
      <c r="E3" s="1817"/>
    </row>
    <row r="4" spans="1:5" ht="22.5" customHeight="1">
      <c r="A4" s="1742" t="s">
        <v>522</v>
      </c>
      <c r="B4" s="1815">
        <v>1991</v>
      </c>
      <c r="C4" s="1816"/>
      <c r="D4" s="1813">
        <v>2001</v>
      </c>
      <c r="E4" s="1814"/>
    </row>
    <row r="5" spans="1:5" ht="33.75" customHeight="1">
      <c r="A5" s="1802"/>
      <c r="B5" s="631" t="s">
        <v>847</v>
      </c>
      <c r="C5" s="657" t="s">
        <v>523</v>
      </c>
      <c r="D5" s="631" t="s">
        <v>847</v>
      </c>
      <c r="E5" s="631" t="s">
        <v>523</v>
      </c>
    </row>
    <row r="6" spans="1:5" ht="20.25" customHeight="1">
      <c r="A6" s="705" t="s">
        <v>928</v>
      </c>
      <c r="B6" s="998" t="s">
        <v>929</v>
      </c>
      <c r="C6" s="999" t="s">
        <v>930</v>
      </c>
      <c r="D6" s="998" t="s">
        <v>931</v>
      </c>
      <c r="E6" s="1000" t="s">
        <v>932</v>
      </c>
    </row>
    <row r="7" spans="1:5" ht="28.5" customHeight="1">
      <c r="A7" s="607" t="s">
        <v>1706</v>
      </c>
      <c r="B7" s="719">
        <v>3950496</v>
      </c>
      <c r="C7" s="706">
        <f t="shared" ref="C7:C13" si="0">B7/$B$15*100</f>
        <v>69.124676510884456</v>
      </c>
      <c r="D7" s="720">
        <v>4548459</v>
      </c>
      <c r="E7" s="707">
        <f t="shared" ref="E7:E15" si="1">D7/$D$15*100</f>
        <v>65.85585365143848</v>
      </c>
    </row>
    <row r="8" spans="1:5" ht="28.5" customHeight="1">
      <c r="A8" s="299" t="s">
        <v>1707</v>
      </c>
      <c r="B8" s="720">
        <v>1711297</v>
      </c>
      <c r="C8" s="706">
        <f t="shared" si="0"/>
        <v>29.943797320399018</v>
      </c>
      <c r="D8" s="720">
        <v>2295967</v>
      </c>
      <c r="E8" s="707">
        <f t="shared" si="1"/>
        <v>33.242657950864732</v>
      </c>
    </row>
    <row r="9" spans="1:5" ht="28.5" customHeight="1">
      <c r="A9" s="299" t="s">
        <v>1708</v>
      </c>
      <c r="B9" s="720">
        <v>48941</v>
      </c>
      <c r="C9" s="706">
        <f t="shared" si="0"/>
        <v>0.85635595963625744</v>
      </c>
      <c r="D9" s="720">
        <v>52835</v>
      </c>
      <c r="E9" s="707">
        <f t="shared" si="1"/>
        <v>0.76498304759342717</v>
      </c>
    </row>
    <row r="10" spans="1:5" ht="28.5" customHeight="1">
      <c r="A10" s="299" t="s">
        <v>1709</v>
      </c>
      <c r="B10" s="720">
        <v>1035</v>
      </c>
      <c r="C10" s="706">
        <f t="shared" si="0"/>
        <v>1.8110141154114676E-2</v>
      </c>
      <c r="D10" s="720">
        <v>1680</v>
      </c>
      <c r="E10" s="707">
        <f t="shared" si="1"/>
        <v>2.4324245669668926E-2</v>
      </c>
    </row>
    <row r="11" spans="1:5" ht="28.5" customHeight="1">
      <c r="A11" s="299" t="s">
        <v>1710</v>
      </c>
      <c r="B11" s="720">
        <v>1079</v>
      </c>
      <c r="C11" s="706">
        <f t="shared" si="0"/>
        <v>1.8880040874676072E-2</v>
      </c>
      <c r="D11" s="720">
        <v>1799</v>
      </c>
      <c r="E11" s="707">
        <f t="shared" si="1"/>
        <v>2.6047213071270475E-2</v>
      </c>
    </row>
    <row r="12" spans="1:5" ht="28.5" customHeight="1">
      <c r="A12" s="299" t="s">
        <v>1711</v>
      </c>
      <c r="B12" s="720">
        <v>104</v>
      </c>
      <c r="C12" s="706" t="s">
        <v>1229</v>
      </c>
      <c r="D12" s="720">
        <v>213</v>
      </c>
      <c r="E12" s="1549" t="s">
        <v>1229</v>
      </c>
    </row>
    <row r="13" spans="1:5" ht="28.5" customHeight="1">
      <c r="A13" s="299" t="s">
        <v>1111</v>
      </c>
      <c r="B13" s="720">
        <v>2078</v>
      </c>
      <c r="C13" s="706">
        <f t="shared" si="0"/>
        <v>3.6360264075604151E-2</v>
      </c>
      <c r="D13" s="720">
        <v>1142</v>
      </c>
      <c r="E13" s="707">
        <f t="shared" si="1"/>
        <v>1.6534695568310661E-2</v>
      </c>
    </row>
    <row r="14" spans="1:5" ht="28.5" customHeight="1">
      <c r="A14" s="300" t="s">
        <v>1114</v>
      </c>
      <c r="B14" s="721" t="s">
        <v>1732</v>
      </c>
      <c r="C14" s="710" t="s">
        <v>1732</v>
      </c>
      <c r="D14" s="720">
        <v>4594</v>
      </c>
      <c r="E14" s="707">
        <f t="shared" si="1"/>
        <v>6.6515228932416098E-2</v>
      </c>
    </row>
    <row r="15" spans="1:5" ht="28.5" customHeight="1">
      <c r="A15" s="704" t="s">
        <v>358</v>
      </c>
      <c r="B15" s="722">
        <f>SUM(B7:B14)</f>
        <v>5715030</v>
      </c>
      <c r="C15" s="708">
        <f>B15/$B$15*100</f>
        <v>100</v>
      </c>
      <c r="D15" s="722">
        <f>SUM(D7:D14)</f>
        <v>6906689</v>
      </c>
      <c r="E15" s="709">
        <f t="shared" si="1"/>
        <v>100</v>
      </c>
    </row>
    <row r="16" spans="1:5">
      <c r="A16" s="1213" t="s">
        <v>917</v>
      </c>
      <c r="C16" s="1812" t="s">
        <v>1001</v>
      </c>
      <c r="D16" s="1812"/>
      <c r="E16" s="1812"/>
    </row>
  </sheetData>
  <mergeCells count="7">
    <mergeCell ref="A1:E1"/>
    <mergeCell ref="A2:E2"/>
    <mergeCell ref="C16:E16"/>
    <mergeCell ref="D4:E4"/>
    <mergeCell ref="B4:C4"/>
    <mergeCell ref="A4:A5"/>
    <mergeCell ref="D3:E3"/>
  </mergeCells>
  <phoneticPr fontId="0" type="noConversion"/>
  <printOptions horizontalCentered="1"/>
  <pageMargins left="0.1" right="0.1" top="1" bottom="1" header="0.5" footer="0.5"/>
  <pageSetup paperSize="9" orientation="landscape" blackAndWhite="1" r:id="rId1"/>
  <headerFooter alignWithMargins="0"/>
</worksheet>
</file>

<file path=xl/worksheets/sheet21.xml><?xml version="1.0" encoding="utf-8"?>
<worksheet xmlns="http://schemas.openxmlformats.org/spreadsheetml/2006/main" xmlns:r="http://schemas.openxmlformats.org/officeDocument/2006/relationships">
  <dimension ref="A1:AD55"/>
  <sheetViews>
    <sheetView workbookViewId="0">
      <selection activeCell="J11" sqref="J11"/>
    </sheetView>
  </sheetViews>
  <sheetFormatPr defaultRowHeight="12.75"/>
  <cols>
    <col min="1" max="1" width="22.140625" style="232" customWidth="1"/>
    <col min="2" max="13" width="8.7109375" style="232" customWidth="1"/>
    <col min="14" max="14" width="1.85546875" style="232" customWidth="1"/>
    <col min="15" max="15" width="22.5703125" style="232" customWidth="1"/>
    <col min="16" max="16" width="7.5703125" style="232" customWidth="1"/>
    <col min="17" max="17" width="7.140625" style="232" customWidth="1"/>
    <col min="18" max="18" width="7" style="232" customWidth="1"/>
    <col min="19" max="19" width="6.85546875" style="232" customWidth="1"/>
    <col min="20" max="20" width="6.42578125" style="232" customWidth="1"/>
    <col min="21" max="21" width="6.85546875" style="232" customWidth="1"/>
    <col min="22" max="22" width="7.28515625" style="232" customWidth="1"/>
    <col min="23" max="25" width="6.85546875" style="232" customWidth="1"/>
    <col min="26" max="26" width="7" style="232" customWidth="1"/>
    <col min="27" max="27" width="6.28515625" style="232" customWidth="1"/>
    <col min="28" max="30" width="8.42578125" style="232" customWidth="1"/>
    <col min="31" max="16384" width="9.140625" style="232"/>
  </cols>
  <sheetData>
    <row r="1" spans="1:30" ht="14.25" customHeight="1">
      <c r="A1" s="1823" t="s">
        <v>1705</v>
      </c>
      <c r="B1" s="1823"/>
      <c r="C1" s="1823"/>
      <c r="D1" s="1823"/>
      <c r="E1" s="1823"/>
      <c r="F1" s="1823"/>
      <c r="G1" s="1823"/>
      <c r="H1" s="1823"/>
      <c r="I1" s="1823"/>
      <c r="J1" s="1823"/>
      <c r="K1" s="1823"/>
      <c r="L1" s="1823"/>
      <c r="M1" s="1823"/>
      <c r="O1" s="1823" t="s">
        <v>566</v>
      </c>
      <c r="P1" s="1823"/>
      <c r="Q1" s="1823"/>
      <c r="R1" s="1823"/>
      <c r="S1" s="1823"/>
      <c r="T1" s="1823"/>
      <c r="U1" s="1823"/>
      <c r="V1" s="1823"/>
      <c r="W1" s="1823"/>
      <c r="X1" s="1823"/>
      <c r="Y1" s="1823"/>
      <c r="Z1" s="1823"/>
      <c r="AA1" s="1823"/>
      <c r="AB1" s="1823"/>
      <c r="AC1" s="1823"/>
      <c r="AD1" s="1823"/>
    </row>
    <row r="2" spans="1:30" ht="19.5" customHeight="1">
      <c r="A2" s="1824" t="s">
        <v>524</v>
      </c>
      <c r="B2" s="1824"/>
      <c r="C2" s="1824"/>
      <c r="D2" s="1824"/>
      <c r="E2" s="1824"/>
      <c r="F2" s="1824"/>
      <c r="G2" s="1824"/>
      <c r="H2" s="1824"/>
      <c r="I2" s="1824"/>
      <c r="J2" s="1824"/>
      <c r="K2" s="1824"/>
      <c r="L2" s="1824"/>
      <c r="M2" s="1824"/>
      <c r="O2" s="723"/>
      <c r="P2" s="724"/>
      <c r="Q2" s="724"/>
      <c r="R2" s="724"/>
    </row>
    <row r="3" spans="1:30" ht="19.5" customHeight="1">
      <c r="A3" s="724"/>
      <c r="B3" s="898"/>
      <c r="C3" s="898"/>
      <c r="D3" s="898"/>
      <c r="E3" s="898"/>
      <c r="F3" s="898"/>
      <c r="G3" s="898"/>
      <c r="H3" s="898"/>
      <c r="I3" s="898"/>
      <c r="J3" s="898"/>
      <c r="K3" s="898"/>
      <c r="L3" s="898"/>
      <c r="M3" s="95" t="s">
        <v>977</v>
      </c>
      <c r="O3" s="723"/>
      <c r="P3" s="724"/>
      <c r="Q3" s="724"/>
      <c r="R3" s="724"/>
      <c r="AD3" s="95" t="s">
        <v>977</v>
      </c>
    </row>
    <row r="4" spans="1:30" s="725" customFormat="1" ht="15" customHeight="1">
      <c r="A4" s="1821" t="s">
        <v>1698</v>
      </c>
      <c r="B4" s="1819" t="s">
        <v>1706</v>
      </c>
      <c r="C4" s="1818"/>
      <c r="D4" s="1820"/>
      <c r="E4" s="1818" t="s">
        <v>1707</v>
      </c>
      <c r="F4" s="1818"/>
      <c r="G4" s="1818"/>
      <c r="H4" s="1819" t="s">
        <v>1708</v>
      </c>
      <c r="I4" s="1818"/>
      <c r="J4" s="1820"/>
      <c r="K4" s="1818" t="s">
        <v>1709</v>
      </c>
      <c r="L4" s="1818"/>
      <c r="M4" s="1820"/>
      <c r="O4" s="1821" t="s">
        <v>1698</v>
      </c>
      <c r="P4" s="1819" t="s">
        <v>1710</v>
      </c>
      <c r="Q4" s="1818"/>
      <c r="R4" s="1820"/>
      <c r="S4" s="1818" t="s">
        <v>1711</v>
      </c>
      <c r="T4" s="1818"/>
      <c r="U4" s="1818"/>
      <c r="V4" s="1819" t="s">
        <v>1111</v>
      </c>
      <c r="W4" s="1818"/>
      <c r="X4" s="1820"/>
      <c r="Y4" s="1818" t="s">
        <v>1114</v>
      </c>
      <c r="Z4" s="1818"/>
      <c r="AA4" s="1818"/>
      <c r="AB4" s="1819" t="s">
        <v>958</v>
      </c>
      <c r="AC4" s="1818"/>
      <c r="AD4" s="1820"/>
    </row>
    <row r="5" spans="1:30" s="725" customFormat="1" ht="15" customHeight="1">
      <c r="A5" s="1822"/>
      <c r="B5" s="1297" t="s">
        <v>1003</v>
      </c>
      <c r="C5" s="1298" t="s">
        <v>1004</v>
      </c>
      <c r="D5" s="1299" t="s">
        <v>958</v>
      </c>
      <c r="E5" s="1298" t="s">
        <v>1003</v>
      </c>
      <c r="F5" s="1298" t="s">
        <v>1004</v>
      </c>
      <c r="G5" s="1298" t="s">
        <v>958</v>
      </c>
      <c r="H5" s="1297" t="s">
        <v>1003</v>
      </c>
      <c r="I5" s="1298" t="s">
        <v>1004</v>
      </c>
      <c r="J5" s="1299" t="s">
        <v>958</v>
      </c>
      <c r="K5" s="1298" t="s">
        <v>1003</v>
      </c>
      <c r="L5" s="1298" t="s">
        <v>1004</v>
      </c>
      <c r="M5" s="1299" t="s">
        <v>958</v>
      </c>
      <c r="O5" s="1822"/>
      <c r="P5" s="1297" t="s">
        <v>1003</v>
      </c>
      <c r="Q5" s="1298" t="s">
        <v>1004</v>
      </c>
      <c r="R5" s="1299" t="s">
        <v>958</v>
      </c>
      <c r="S5" s="1298" t="s">
        <v>1003</v>
      </c>
      <c r="T5" s="1298" t="s">
        <v>1004</v>
      </c>
      <c r="U5" s="1298" t="s">
        <v>958</v>
      </c>
      <c r="V5" s="1297" t="s">
        <v>1003</v>
      </c>
      <c r="W5" s="1298" t="s">
        <v>1004</v>
      </c>
      <c r="X5" s="1299" t="s">
        <v>958</v>
      </c>
      <c r="Y5" s="1298" t="s">
        <v>1003</v>
      </c>
      <c r="Z5" s="1298" t="s">
        <v>1004</v>
      </c>
      <c r="AA5" s="1298" t="s">
        <v>958</v>
      </c>
      <c r="AB5" s="1297" t="s">
        <v>1003</v>
      </c>
      <c r="AC5" s="1298" t="s">
        <v>1004</v>
      </c>
      <c r="AD5" s="1299" t="s">
        <v>958</v>
      </c>
    </row>
    <row r="6" spans="1:30" s="725" customFormat="1" ht="15" customHeight="1">
      <c r="A6" s="1300" t="s">
        <v>928</v>
      </c>
      <c r="B6" s="1300" t="s">
        <v>929</v>
      </c>
      <c r="C6" s="1301" t="s">
        <v>930</v>
      </c>
      <c r="D6" s="1302" t="s">
        <v>931</v>
      </c>
      <c r="E6" s="1301" t="s">
        <v>932</v>
      </c>
      <c r="F6" s="1301" t="s">
        <v>933</v>
      </c>
      <c r="G6" s="1301" t="s">
        <v>934</v>
      </c>
      <c r="H6" s="1300" t="s">
        <v>959</v>
      </c>
      <c r="I6" s="1301" t="s">
        <v>960</v>
      </c>
      <c r="J6" s="1302" t="s">
        <v>961</v>
      </c>
      <c r="K6" s="1301" t="s">
        <v>962</v>
      </c>
      <c r="L6" s="1301" t="s">
        <v>1037</v>
      </c>
      <c r="M6" s="1302" t="s">
        <v>1038</v>
      </c>
      <c r="N6" s="726"/>
      <c r="O6" s="1300" t="s">
        <v>928</v>
      </c>
      <c r="P6" s="1300" t="s">
        <v>1039</v>
      </c>
      <c r="Q6" s="1301" t="s">
        <v>1040</v>
      </c>
      <c r="R6" s="1302" t="s">
        <v>1041</v>
      </c>
      <c r="S6" s="1301" t="s">
        <v>1042</v>
      </c>
      <c r="T6" s="1301" t="s">
        <v>1044</v>
      </c>
      <c r="U6" s="1301" t="s">
        <v>1043</v>
      </c>
      <c r="V6" s="1300" t="s">
        <v>1286</v>
      </c>
      <c r="W6" s="1301" t="s">
        <v>1288</v>
      </c>
      <c r="X6" s="1302" t="s">
        <v>1289</v>
      </c>
      <c r="Y6" s="1301" t="s">
        <v>53</v>
      </c>
      <c r="Z6" s="1301" t="s">
        <v>54</v>
      </c>
      <c r="AA6" s="1301" t="s">
        <v>55</v>
      </c>
      <c r="AB6" s="1300" t="s">
        <v>56</v>
      </c>
      <c r="AC6" s="1301" t="s">
        <v>57</v>
      </c>
      <c r="AD6" s="1302" t="s">
        <v>58</v>
      </c>
    </row>
    <row r="7" spans="1:30" ht="18" customHeight="1">
      <c r="A7" s="727" t="s">
        <v>24</v>
      </c>
      <c r="B7" s="795">
        <f t="shared" ref="B7:M7" si="0">SUM(B8:B15)</f>
        <v>433775</v>
      </c>
      <c r="C7" s="780">
        <f t="shared" si="0"/>
        <v>397110</v>
      </c>
      <c r="D7" s="781">
        <f t="shared" si="0"/>
        <v>830885</v>
      </c>
      <c r="E7" s="780">
        <f t="shared" si="0"/>
        <v>233437</v>
      </c>
      <c r="F7" s="780">
        <f t="shared" si="0"/>
        <v>215046</v>
      </c>
      <c r="G7" s="780">
        <f t="shared" si="0"/>
        <v>448483</v>
      </c>
      <c r="H7" s="795">
        <f t="shared" si="0"/>
        <v>9603</v>
      </c>
      <c r="I7" s="780">
        <f t="shared" si="0"/>
        <v>9564</v>
      </c>
      <c r="J7" s="781">
        <f t="shared" si="0"/>
        <v>19167</v>
      </c>
      <c r="K7" s="780">
        <f t="shared" si="0"/>
        <v>653</v>
      </c>
      <c r="L7" s="780">
        <f t="shared" si="0"/>
        <v>463</v>
      </c>
      <c r="M7" s="781">
        <f t="shared" si="0"/>
        <v>1116</v>
      </c>
      <c r="O7" s="727" t="s">
        <v>24</v>
      </c>
      <c r="P7" s="795">
        <f t="shared" ref="P7:AD7" si="1">SUM(P8:P15)</f>
        <v>762</v>
      </c>
      <c r="Q7" s="780">
        <f t="shared" si="1"/>
        <v>703</v>
      </c>
      <c r="R7" s="781">
        <f t="shared" si="1"/>
        <v>1465</v>
      </c>
      <c r="S7" s="780">
        <f t="shared" si="1"/>
        <v>68</v>
      </c>
      <c r="T7" s="780">
        <f t="shared" si="1"/>
        <v>47</v>
      </c>
      <c r="U7" s="780">
        <f t="shared" si="1"/>
        <v>115</v>
      </c>
      <c r="V7" s="795">
        <f t="shared" si="1"/>
        <v>104</v>
      </c>
      <c r="W7" s="780">
        <f t="shared" si="1"/>
        <v>73</v>
      </c>
      <c r="X7" s="781">
        <f t="shared" si="1"/>
        <v>177</v>
      </c>
      <c r="Y7" s="780">
        <f t="shared" si="1"/>
        <v>290</v>
      </c>
      <c r="Z7" s="780">
        <f t="shared" si="1"/>
        <v>257</v>
      </c>
      <c r="AA7" s="780">
        <f t="shared" si="1"/>
        <v>547</v>
      </c>
      <c r="AB7" s="795">
        <f t="shared" si="1"/>
        <v>678692</v>
      </c>
      <c r="AC7" s="780">
        <f t="shared" si="1"/>
        <v>623263</v>
      </c>
      <c r="AD7" s="781">
        <f t="shared" si="1"/>
        <v>1301955</v>
      </c>
    </row>
    <row r="8" spans="1:30" ht="18" customHeight="1">
      <c r="A8" s="728" t="s">
        <v>757</v>
      </c>
      <c r="B8" s="395">
        <v>46719</v>
      </c>
      <c r="C8" s="370">
        <v>43759</v>
      </c>
      <c r="D8" s="374">
        <f t="shared" ref="D8:D15" si="2">SUM(B8:C8)</f>
        <v>90478</v>
      </c>
      <c r="E8" s="370">
        <v>20125</v>
      </c>
      <c r="F8" s="370">
        <v>18832</v>
      </c>
      <c r="G8" s="370">
        <f t="shared" ref="G8:G15" si="3">SUM(E8:F8)</f>
        <v>38957</v>
      </c>
      <c r="H8" s="261">
        <v>3516</v>
      </c>
      <c r="I8" s="39">
        <v>3674</v>
      </c>
      <c r="J8" s="82">
        <f t="shared" ref="J8:J15" si="4">SUM(H8:I8)</f>
        <v>7190</v>
      </c>
      <c r="K8" s="39">
        <v>58</v>
      </c>
      <c r="L8" s="39">
        <v>37</v>
      </c>
      <c r="M8" s="82">
        <f t="shared" ref="M8:M15" si="5">SUM(K8:L8)</f>
        <v>95</v>
      </c>
      <c r="O8" s="728" t="s">
        <v>757</v>
      </c>
      <c r="P8" s="261">
        <v>50</v>
      </c>
      <c r="Q8" s="39">
        <v>42</v>
      </c>
      <c r="R8" s="82">
        <f t="shared" ref="R8:R15" si="6">SUM(P8:Q8)</f>
        <v>92</v>
      </c>
      <c r="S8" s="39">
        <v>16</v>
      </c>
      <c r="T8" s="39">
        <v>8</v>
      </c>
      <c r="U8" s="39">
        <f t="shared" ref="U8:U14" si="7">SUM(S8:T8)</f>
        <v>24</v>
      </c>
      <c r="V8" s="269" t="s">
        <v>1229</v>
      </c>
      <c r="W8" s="39">
        <v>1</v>
      </c>
      <c r="X8" s="82">
        <f t="shared" ref="X8:X14" si="8">SUM(V8:W8)</f>
        <v>1</v>
      </c>
      <c r="Y8" s="39">
        <v>33</v>
      </c>
      <c r="Z8" s="39">
        <v>33</v>
      </c>
      <c r="AA8" s="39">
        <f t="shared" ref="AA8:AA15" si="9">SUM(Y8:Z8)</f>
        <v>66</v>
      </c>
      <c r="AB8" s="395">
        <f t="shared" ref="AB8:AC15" si="10">SUM(B8,E8,H8,K8,P8,S8,V8,Y8)</f>
        <v>70517</v>
      </c>
      <c r="AC8" s="370">
        <f t="shared" si="10"/>
        <v>66386</v>
      </c>
      <c r="AD8" s="82">
        <f t="shared" ref="AD8:AD15" si="11">SUM(AB8:AC8)</f>
        <v>136903</v>
      </c>
    </row>
    <row r="9" spans="1:30" ht="18" customHeight="1">
      <c r="A9" s="605" t="s">
        <v>1214</v>
      </c>
      <c r="B9" s="395">
        <v>70452</v>
      </c>
      <c r="C9" s="370">
        <v>65492</v>
      </c>
      <c r="D9" s="374">
        <f t="shared" si="2"/>
        <v>135944</v>
      </c>
      <c r="E9" s="370">
        <v>30972</v>
      </c>
      <c r="F9" s="370">
        <v>29173</v>
      </c>
      <c r="G9" s="370">
        <f t="shared" si="3"/>
        <v>60145</v>
      </c>
      <c r="H9" s="261">
        <v>5135</v>
      </c>
      <c r="I9" s="39">
        <v>4919</v>
      </c>
      <c r="J9" s="82">
        <f t="shared" si="4"/>
        <v>10054</v>
      </c>
      <c r="K9" s="39">
        <v>9</v>
      </c>
      <c r="L9" s="39">
        <v>6</v>
      </c>
      <c r="M9" s="82">
        <f t="shared" si="5"/>
        <v>15</v>
      </c>
      <c r="O9" s="605" t="s">
        <v>1214</v>
      </c>
      <c r="P9" s="261">
        <v>31</v>
      </c>
      <c r="Q9" s="39">
        <v>32</v>
      </c>
      <c r="R9" s="82">
        <f t="shared" si="6"/>
        <v>63</v>
      </c>
      <c r="S9" s="39">
        <v>2</v>
      </c>
      <c r="T9" s="39">
        <v>1</v>
      </c>
      <c r="U9" s="39">
        <f t="shared" si="7"/>
        <v>3</v>
      </c>
      <c r="V9" s="261">
        <v>12</v>
      </c>
      <c r="W9" s="39">
        <v>10</v>
      </c>
      <c r="X9" s="82">
        <f t="shared" si="8"/>
        <v>22</v>
      </c>
      <c r="Y9" s="39">
        <v>67</v>
      </c>
      <c r="Z9" s="39">
        <v>57</v>
      </c>
      <c r="AA9" s="39">
        <f t="shared" si="9"/>
        <v>124</v>
      </c>
      <c r="AB9" s="395">
        <f t="shared" si="10"/>
        <v>106680</v>
      </c>
      <c r="AC9" s="370">
        <f t="shared" si="10"/>
        <v>99690</v>
      </c>
      <c r="AD9" s="82">
        <f t="shared" si="11"/>
        <v>206370</v>
      </c>
    </row>
    <row r="10" spans="1:30" ht="18" customHeight="1">
      <c r="A10" s="605" t="s">
        <v>1211</v>
      </c>
      <c r="B10" s="395">
        <v>63186</v>
      </c>
      <c r="C10" s="370">
        <v>59150</v>
      </c>
      <c r="D10" s="374">
        <f t="shared" si="2"/>
        <v>122336</v>
      </c>
      <c r="E10" s="370">
        <v>34437</v>
      </c>
      <c r="F10" s="370">
        <v>33110</v>
      </c>
      <c r="G10" s="370">
        <f t="shared" si="3"/>
        <v>67547</v>
      </c>
      <c r="H10" s="261">
        <v>328</v>
      </c>
      <c r="I10" s="39">
        <v>269</v>
      </c>
      <c r="J10" s="82">
        <f t="shared" si="4"/>
        <v>597</v>
      </c>
      <c r="K10" s="39">
        <v>13</v>
      </c>
      <c r="L10" s="39">
        <v>11</v>
      </c>
      <c r="M10" s="82">
        <f t="shared" si="5"/>
        <v>24</v>
      </c>
      <c r="O10" s="605" t="s">
        <v>1211</v>
      </c>
      <c r="P10" s="261">
        <v>4</v>
      </c>
      <c r="Q10" s="39">
        <v>8</v>
      </c>
      <c r="R10" s="82">
        <f t="shared" si="6"/>
        <v>12</v>
      </c>
      <c r="S10" s="39">
        <v>1</v>
      </c>
      <c r="T10" s="756" t="s">
        <v>1229</v>
      </c>
      <c r="U10" s="39">
        <f t="shared" si="7"/>
        <v>1</v>
      </c>
      <c r="V10" s="261">
        <v>14</v>
      </c>
      <c r="W10" s="39">
        <v>10</v>
      </c>
      <c r="X10" s="82">
        <f t="shared" si="8"/>
        <v>24</v>
      </c>
      <c r="Y10" s="39">
        <v>48</v>
      </c>
      <c r="Z10" s="39">
        <v>47</v>
      </c>
      <c r="AA10" s="39">
        <f t="shared" si="9"/>
        <v>95</v>
      </c>
      <c r="AB10" s="395">
        <f t="shared" si="10"/>
        <v>98031</v>
      </c>
      <c r="AC10" s="370">
        <f t="shared" si="10"/>
        <v>92605</v>
      </c>
      <c r="AD10" s="82">
        <f t="shared" si="11"/>
        <v>190636</v>
      </c>
    </row>
    <row r="11" spans="1:30" ht="18" customHeight="1">
      <c r="A11" s="605" t="s">
        <v>1212</v>
      </c>
      <c r="B11" s="395">
        <v>29380</v>
      </c>
      <c r="C11" s="370">
        <v>26279</v>
      </c>
      <c r="D11" s="374">
        <f t="shared" si="2"/>
        <v>55659</v>
      </c>
      <c r="E11" s="370">
        <v>22885</v>
      </c>
      <c r="F11" s="370">
        <v>21277</v>
      </c>
      <c r="G11" s="370">
        <f t="shared" si="3"/>
        <v>44162</v>
      </c>
      <c r="H11" s="261">
        <v>11</v>
      </c>
      <c r="I11" s="39">
        <v>12</v>
      </c>
      <c r="J11" s="82">
        <f t="shared" si="4"/>
        <v>23</v>
      </c>
      <c r="K11" s="39">
        <v>8</v>
      </c>
      <c r="L11" s="39">
        <v>6</v>
      </c>
      <c r="M11" s="82">
        <f t="shared" si="5"/>
        <v>14</v>
      </c>
      <c r="O11" s="605" t="s">
        <v>1212</v>
      </c>
      <c r="P11" s="261">
        <v>15</v>
      </c>
      <c r="Q11" s="39">
        <v>12</v>
      </c>
      <c r="R11" s="82">
        <f t="shared" si="6"/>
        <v>27</v>
      </c>
      <c r="S11" s="39">
        <v>1</v>
      </c>
      <c r="T11" s="39">
        <v>1</v>
      </c>
      <c r="U11" s="39">
        <f t="shared" si="7"/>
        <v>2</v>
      </c>
      <c r="V11" s="261">
        <v>1</v>
      </c>
      <c r="W11" s="756" t="s">
        <v>1229</v>
      </c>
      <c r="X11" s="82">
        <f t="shared" si="8"/>
        <v>1</v>
      </c>
      <c r="Y11" s="39">
        <v>31</v>
      </c>
      <c r="Z11" s="39">
        <v>26</v>
      </c>
      <c r="AA11" s="39">
        <f t="shared" si="9"/>
        <v>57</v>
      </c>
      <c r="AB11" s="395">
        <f t="shared" si="10"/>
        <v>52332</v>
      </c>
      <c r="AC11" s="370">
        <f t="shared" si="10"/>
        <v>47613</v>
      </c>
      <c r="AD11" s="82">
        <f t="shared" si="11"/>
        <v>99945</v>
      </c>
    </row>
    <row r="12" spans="1:30" ht="18" customHeight="1">
      <c r="A12" s="605" t="s">
        <v>1213</v>
      </c>
      <c r="B12" s="395">
        <v>63490</v>
      </c>
      <c r="C12" s="370">
        <v>58588</v>
      </c>
      <c r="D12" s="374">
        <f t="shared" si="2"/>
        <v>122078</v>
      </c>
      <c r="E12" s="370">
        <v>26464</v>
      </c>
      <c r="F12" s="370">
        <v>24828</v>
      </c>
      <c r="G12" s="370">
        <f t="shared" si="3"/>
        <v>51292</v>
      </c>
      <c r="H12" s="261">
        <v>8</v>
      </c>
      <c r="I12" s="39">
        <v>9</v>
      </c>
      <c r="J12" s="82">
        <f t="shared" si="4"/>
        <v>17</v>
      </c>
      <c r="K12" s="39">
        <v>2</v>
      </c>
      <c r="L12" s="39">
        <v>2</v>
      </c>
      <c r="M12" s="82">
        <f t="shared" si="5"/>
        <v>4</v>
      </c>
      <c r="O12" s="605" t="s">
        <v>1213</v>
      </c>
      <c r="P12" s="261">
        <v>4</v>
      </c>
      <c r="Q12" s="39">
        <v>1</v>
      </c>
      <c r="R12" s="82">
        <f t="shared" si="6"/>
        <v>5</v>
      </c>
      <c r="S12" s="39">
        <v>1</v>
      </c>
      <c r="T12" s="756" t="s">
        <v>1229</v>
      </c>
      <c r="U12" s="82">
        <f t="shared" si="7"/>
        <v>1</v>
      </c>
      <c r="V12" s="756" t="s">
        <v>1229</v>
      </c>
      <c r="W12" s="756" t="s">
        <v>1229</v>
      </c>
      <c r="X12" s="1120" t="s">
        <v>1229</v>
      </c>
      <c r="Y12" s="39">
        <v>29</v>
      </c>
      <c r="Z12" s="39">
        <v>20</v>
      </c>
      <c r="AA12" s="39">
        <f t="shared" si="9"/>
        <v>49</v>
      </c>
      <c r="AB12" s="395">
        <f t="shared" si="10"/>
        <v>89998</v>
      </c>
      <c r="AC12" s="370">
        <f t="shared" si="10"/>
        <v>83448</v>
      </c>
      <c r="AD12" s="82">
        <f t="shared" si="11"/>
        <v>173446</v>
      </c>
    </row>
    <row r="13" spans="1:30" ht="18" customHeight="1">
      <c r="A13" s="605" t="s">
        <v>1215</v>
      </c>
      <c r="B13" s="395">
        <v>29454</v>
      </c>
      <c r="C13" s="370">
        <v>24385</v>
      </c>
      <c r="D13" s="374">
        <f t="shared" si="2"/>
        <v>53839</v>
      </c>
      <c r="E13" s="370">
        <v>11232</v>
      </c>
      <c r="F13" s="370">
        <v>9599</v>
      </c>
      <c r="G13" s="370">
        <f t="shared" si="3"/>
        <v>20831</v>
      </c>
      <c r="H13" s="261">
        <v>165</v>
      </c>
      <c r="I13" s="39">
        <v>172</v>
      </c>
      <c r="J13" s="82">
        <f t="shared" si="4"/>
        <v>337</v>
      </c>
      <c r="K13" s="39">
        <v>273</v>
      </c>
      <c r="L13" s="39">
        <v>176</v>
      </c>
      <c r="M13" s="82">
        <f t="shared" si="5"/>
        <v>449</v>
      </c>
      <c r="O13" s="605" t="s">
        <v>1215</v>
      </c>
      <c r="P13" s="261">
        <v>7</v>
      </c>
      <c r="Q13" s="39">
        <v>7</v>
      </c>
      <c r="R13" s="82">
        <f t="shared" si="6"/>
        <v>14</v>
      </c>
      <c r="S13" s="39">
        <v>16</v>
      </c>
      <c r="T13" s="39">
        <v>14</v>
      </c>
      <c r="U13" s="39">
        <f t="shared" si="7"/>
        <v>30</v>
      </c>
      <c r="V13" s="261">
        <v>17</v>
      </c>
      <c r="W13" s="39">
        <v>12</v>
      </c>
      <c r="X13" s="82">
        <f t="shared" si="8"/>
        <v>29</v>
      </c>
      <c r="Y13" s="39">
        <v>1</v>
      </c>
      <c r="Z13" s="39">
        <v>1</v>
      </c>
      <c r="AA13" s="39">
        <f t="shared" si="9"/>
        <v>2</v>
      </c>
      <c r="AB13" s="395">
        <f t="shared" si="10"/>
        <v>41165</v>
      </c>
      <c r="AC13" s="370">
        <f t="shared" si="10"/>
        <v>34366</v>
      </c>
      <c r="AD13" s="82">
        <f t="shared" si="11"/>
        <v>75531</v>
      </c>
    </row>
    <row r="14" spans="1:30" ht="18" customHeight="1">
      <c r="A14" s="605" t="s">
        <v>1216</v>
      </c>
      <c r="B14" s="395">
        <v>120075</v>
      </c>
      <c r="C14" s="370">
        <v>109453</v>
      </c>
      <c r="D14" s="374">
        <f t="shared" si="2"/>
        <v>229528</v>
      </c>
      <c r="E14" s="370">
        <v>80713</v>
      </c>
      <c r="F14" s="370">
        <v>72073</v>
      </c>
      <c r="G14" s="370">
        <f t="shared" si="3"/>
        <v>152786</v>
      </c>
      <c r="H14" s="261">
        <v>428</v>
      </c>
      <c r="I14" s="39">
        <v>493</v>
      </c>
      <c r="J14" s="82">
        <f t="shared" si="4"/>
        <v>921</v>
      </c>
      <c r="K14" s="39">
        <v>276</v>
      </c>
      <c r="L14" s="39">
        <v>217</v>
      </c>
      <c r="M14" s="82">
        <f t="shared" si="5"/>
        <v>493</v>
      </c>
      <c r="O14" s="605" t="s">
        <v>1216</v>
      </c>
      <c r="P14" s="261">
        <v>650</v>
      </c>
      <c r="Q14" s="39">
        <v>599</v>
      </c>
      <c r="R14" s="82">
        <f t="shared" si="6"/>
        <v>1249</v>
      </c>
      <c r="S14" s="39">
        <v>31</v>
      </c>
      <c r="T14" s="39">
        <v>23</v>
      </c>
      <c r="U14" s="39">
        <f t="shared" si="7"/>
        <v>54</v>
      </c>
      <c r="V14" s="261">
        <v>60</v>
      </c>
      <c r="W14" s="39">
        <v>40</v>
      </c>
      <c r="X14" s="82">
        <f t="shared" si="8"/>
        <v>100</v>
      </c>
      <c r="Y14" s="39">
        <v>71</v>
      </c>
      <c r="Z14" s="39">
        <v>64</v>
      </c>
      <c r="AA14" s="39">
        <f t="shared" si="9"/>
        <v>135</v>
      </c>
      <c r="AB14" s="395">
        <f t="shared" si="10"/>
        <v>202304</v>
      </c>
      <c r="AC14" s="370">
        <f t="shared" si="10"/>
        <v>182962</v>
      </c>
      <c r="AD14" s="82">
        <f t="shared" si="11"/>
        <v>385266</v>
      </c>
    </row>
    <row r="15" spans="1:30" ht="18" customHeight="1">
      <c r="A15" s="605" t="s">
        <v>1217</v>
      </c>
      <c r="B15" s="395">
        <v>11019</v>
      </c>
      <c r="C15" s="370">
        <v>10004</v>
      </c>
      <c r="D15" s="374">
        <f t="shared" si="2"/>
        <v>21023</v>
      </c>
      <c r="E15" s="370">
        <v>6609</v>
      </c>
      <c r="F15" s="370">
        <v>6154</v>
      </c>
      <c r="G15" s="370">
        <f t="shared" si="3"/>
        <v>12763</v>
      </c>
      <c r="H15" s="261">
        <v>12</v>
      </c>
      <c r="I15" s="39">
        <v>16</v>
      </c>
      <c r="J15" s="82">
        <f t="shared" si="4"/>
        <v>28</v>
      </c>
      <c r="K15" s="39">
        <v>14</v>
      </c>
      <c r="L15" s="39">
        <v>8</v>
      </c>
      <c r="M15" s="82">
        <f t="shared" si="5"/>
        <v>22</v>
      </c>
      <c r="O15" s="605" t="s">
        <v>1217</v>
      </c>
      <c r="P15" s="261">
        <v>1</v>
      </c>
      <c r="Q15" s="39">
        <v>2</v>
      </c>
      <c r="R15" s="82">
        <f t="shared" si="6"/>
        <v>3</v>
      </c>
      <c r="S15" s="756" t="s">
        <v>1229</v>
      </c>
      <c r="T15" s="756" t="s">
        <v>1229</v>
      </c>
      <c r="U15" s="1120" t="s">
        <v>1229</v>
      </c>
      <c r="V15" s="756" t="s">
        <v>1229</v>
      </c>
      <c r="W15" s="756" t="s">
        <v>1229</v>
      </c>
      <c r="X15" s="1120" t="s">
        <v>1229</v>
      </c>
      <c r="Y15" s="39">
        <v>10</v>
      </c>
      <c r="Z15" s="39">
        <v>9</v>
      </c>
      <c r="AA15" s="39">
        <f t="shared" si="9"/>
        <v>19</v>
      </c>
      <c r="AB15" s="395">
        <f t="shared" si="10"/>
        <v>17665</v>
      </c>
      <c r="AC15" s="370">
        <f t="shared" si="10"/>
        <v>16193</v>
      </c>
      <c r="AD15" s="82">
        <f t="shared" si="11"/>
        <v>33858</v>
      </c>
    </row>
    <row r="16" spans="1:30" ht="18" customHeight="1">
      <c r="A16" s="603" t="s">
        <v>314</v>
      </c>
      <c r="B16" s="268">
        <f t="shared" ref="B16:M16" si="12">SUM(B17:B26)</f>
        <v>635663</v>
      </c>
      <c r="C16" s="343">
        <f t="shared" si="12"/>
        <v>592803</v>
      </c>
      <c r="D16" s="368">
        <f t="shared" si="12"/>
        <v>1228466</v>
      </c>
      <c r="E16" s="343">
        <f t="shared" si="12"/>
        <v>366393</v>
      </c>
      <c r="F16" s="343">
        <f t="shared" si="12"/>
        <v>345256</v>
      </c>
      <c r="G16" s="343">
        <f t="shared" si="12"/>
        <v>711649</v>
      </c>
      <c r="H16" s="268">
        <f t="shared" si="12"/>
        <v>4459</v>
      </c>
      <c r="I16" s="343">
        <f t="shared" si="12"/>
        <v>4299</v>
      </c>
      <c r="J16" s="368">
        <f t="shared" si="12"/>
        <v>8758</v>
      </c>
      <c r="K16" s="343">
        <f t="shared" si="12"/>
        <v>184</v>
      </c>
      <c r="L16" s="343">
        <f t="shared" si="12"/>
        <v>149</v>
      </c>
      <c r="M16" s="368">
        <f t="shared" si="12"/>
        <v>333</v>
      </c>
      <c r="O16" s="603" t="s">
        <v>314</v>
      </c>
      <c r="P16" s="268">
        <f t="shared" ref="P16:AD16" si="13">SUM(P17:P26)</f>
        <v>134</v>
      </c>
      <c r="Q16" s="343">
        <f t="shared" si="13"/>
        <v>104</v>
      </c>
      <c r="R16" s="368">
        <f t="shared" si="13"/>
        <v>238</v>
      </c>
      <c r="S16" s="343">
        <f t="shared" si="13"/>
        <v>40</v>
      </c>
      <c r="T16" s="343">
        <f t="shared" si="13"/>
        <v>15</v>
      </c>
      <c r="U16" s="343">
        <f t="shared" si="13"/>
        <v>55</v>
      </c>
      <c r="V16" s="268">
        <f t="shared" si="13"/>
        <v>262</v>
      </c>
      <c r="W16" s="343">
        <f t="shared" si="13"/>
        <v>227</v>
      </c>
      <c r="X16" s="368">
        <f t="shared" si="13"/>
        <v>489</v>
      </c>
      <c r="Y16" s="343">
        <f t="shared" si="13"/>
        <v>1037</v>
      </c>
      <c r="Z16" s="343">
        <f t="shared" si="13"/>
        <v>941</v>
      </c>
      <c r="AA16" s="343">
        <f t="shared" si="13"/>
        <v>1978</v>
      </c>
      <c r="AB16" s="268">
        <f t="shared" si="13"/>
        <v>1008172</v>
      </c>
      <c r="AC16" s="343">
        <f t="shared" si="13"/>
        <v>943794</v>
      </c>
      <c r="AD16" s="368">
        <f t="shared" si="13"/>
        <v>1951966</v>
      </c>
    </row>
    <row r="17" spans="1:30" ht="18" customHeight="1">
      <c r="A17" s="605" t="s">
        <v>1218</v>
      </c>
      <c r="B17" s="395">
        <v>69049</v>
      </c>
      <c r="C17" s="370">
        <v>65318</v>
      </c>
      <c r="D17" s="374">
        <f t="shared" ref="D17:D26" si="14">SUM(B17:C17)</f>
        <v>134367</v>
      </c>
      <c r="E17" s="370">
        <v>15248</v>
      </c>
      <c r="F17" s="370">
        <v>14374</v>
      </c>
      <c r="G17" s="370">
        <f t="shared" ref="G17:G26" si="15">SUM(E17:F17)</f>
        <v>29622</v>
      </c>
      <c r="H17" s="261">
        <v>1567</v>
      </c>
      <c r="I17" s="39">
        <v>1464</v>
      </c>
      <c r="J17" s="82">
        <f t="shared" ref="J17:J26" si="16">SUM(H17:I17)</f>
        <v>3031</v>
      </c>
      <c r="K17" s="39">
        <v>21</v>
      </c>
      <c r="L17" s="39">
        <v>16</v>
      </c>
      <c r="M17" s="82">
        <f t="shared" ref="M17:M26" si="17">SUM(K17:L17)</f>
        <v>37</v>
      </c>
      <c r="O17" s="605" t="s">
        <v>1218</v>
      </c>
      <c r="P17" s="261">
        <v>14</v>
      </c>
      <c r="Q17" s="39">
        <v>7</v>
      </c>
      <c r="R17" s="82">
        <f t="shared" ref="R17:R26" si="18">SUM(P17:Q17)</f>
        <v>21</v>
      </c>
      <c r="S17" s="756" t="s">
        <v>1229</v>
      </c>
      <c r="T17" s="756" t="s">
        <v>1229</v>
      </c>
      <c r="U17" s="1120" t="s">
        <v>1229</v>
      </c>
      <c r="V17" s="261">
        <v>6</v>
      </c>
      <c r="W17" s="39">
        <v>3</v>
      </c>
      <c r="X17" s="82">
        <f t="shared" ref="X17:X26" si="19">SUM(V17:W17)</f>
        <v>9</v>
      </c>
      <c r="Y17" s="39">
        <v>173</v>
      </c>
      <c r="Z17" s="39">
        <v>148</v>
      </c>
      <c r="AA17" s="39">
        <f t="shared" ref="AA17:AA26" si="20">SUM(Y17:Z17)</f>
        <v>321</v>
      </c>
      <c r="AB17" s="395">
        <f t="shared" ref="AB17:AB26" si="21">SUM(B17,E17,H17,K17,P17,S17,V17,Y17)</f>
        <v>86078</v>
      </c>
      <c r="AC17" s="370">
        <f t="shared" ref="AC17:AC26" si="22">SUM(C17,F17,I17,L17,Q17,T17,W17,Z17)</f>
        <v>81330</v>
      </c>
      <c r="AD17" s="82">
        <f t="shared" ref="AD17:AD26" si="23">SUM(AB17:AC17)</f>
        <v>167408</v>
      </c>
    </row>
    <row r="18" spans="1:30" ht="18" customHeight="1">
      <c r="A18" s="604" t="s">
        <v>759</v>
      </c>
      <c r="B18" s="395">
        <v>64194</v>
      </c>
      <c r="C18" s="370">
        <v>59443</v>
      </c>
      <c r="D18" s="374">
        <f t="shared" si="14"/>
        <v>123637</v>
      </c>
      <c r="E18" s="370">
        <v>49029</v>
      </c>
      <c r="F18" s="370">
        <v>46180</v>
      </c>
      <c r="G18" s="370">
        <f t="shared" si="15"/>
        <v>95209</v>
      </c>
      <c r="H18" s="261">
        <v>73</v>
      </c>
      <c r="I18" s="39">
        <v>67</v>
      </c>
      <c r="J18" s="82">
        <f t="shared" si="16"/>
        <v>140</v>
      </c>
      <c r="K18" s="39">
        <v>2</v>
      </c>
      <c r="L18" s="39">
        <v>3</v>
      </c>
      <c r="M18" s="82">
        <f t="shared" si="17"/>
        <v>5</v>
      </c>
      <c r="O18" s="604" t="s">
        <v>759</v>
      </c>
      <c r="P18" s="261">
        <v>13</v>
      </c>
      <c r="Q18" s="39">
        <v>8</v>
      </c>
      <c r="R18" s="82">
        <f t="shared" si="18"/>
        <v>21</v>
      </c>
      <c r="S18" s="39">
        <v>2</v>
      </c>
      <c r="T18" s="39">
        <v>1</v>
      </c>
      <c r="U18" s="39">
        <f t="shared" ref="U18:U26" si="24">SUM(S18:T18)</f>
        <v>3</v>
      </c>
      <c r="V18" s="269" t="s">
        <v>1229</v>
      </c>
      <c r="W18" s="39">
        <v>1</v>
      </c>
      <c r="X18" s="82">
        <f t="shared" si="19"/>
        <v>1</v>
      </c>
      <c r="Y18" s="39">
        <v>39</v>
      </c>
      <c r="Z18" s="39">
        <v>35</v>
      </c>
      <c r="AA18" s="39">
        <f t="shared" si="20"/>
        <v>74</v>
      </c>
      <c r="AB18" s="395">
        <f t="shared" si="21"/>
        <v>113352</v>
      </c>
      <c r="AC18" s="370">
        <f t="shared" si="22"/>
        <v>105738</v>
      </c>
      <c r="AD18" s="82">
        <f t="shared" si="23"/>
        <v>219090</v>
      </c>
    </row>
    <row r="19" spans="1:30" ht="18" customHeight="1">
      <c r="A19" s="604" t="s">
        <v>760</v>
      </c>
      <c r="B19" s="395">
        <v>56069</v>
      </c>
      <c r="C19" s="370">
        <v>51585</v>
      </c>
      <c r="D19" s="374">
        <f t="shared" si="14"/>
        <v>107654</v>
      </c>
      <c r="E19" s="370">
        <v>51455</v>
      </c>
      <c r="F19" s="370">
        <v>48608</v>
      </c>
      <c r="G19" s="370">
        <f t="shared" si="15"/>
        <v>100063</v>
      </c>
      <c r="H19" s="261">
        <v>597</v>
      </c>
      <c r="I19" s="39">
        <v>519</v>
      </c>
      <c r="J19" s="82">
        <f t="shared" si="16"/>
        <v>1116</v>
      </c>
      <c r="K19" s="39">
        <v>10</v>
      </c>
      <c r="L19" s="39">
        <v>5</v>
      </c>
      <c r="M19" s="82">
        <f t="shared" si="17"/>
        <v>15</v>
      </c>
      <c r="O19" s="604" t="s">
        <v>760</v>
      </c>
      <c r="P19" s="261">
        <v>3</v>
      </c>
      <c r="Q19" s="39">
        <v>4</v>
      </c>
      <c r="R19" s="82">
        <f t="shared" si="18"/>
        <v>7</v>
      </c>
      <c r="S19" s="39">
        <v>11</v>
      </c>
      <c r="T19" s="39">
        <v>2</v>
      </c>
      <c r="U19" s="39">
        <f t="shared" si="24"/>
        <v>13</v>
      </c>
      <c r="V19" s="269" t="s">
        <v>1229</v>
      </c>
      <c r="W19" s="39">
        <v>1</v>
      </c>
      <c r="X19" s="82">
        <f t="shared" si="19"/>
        <v>1</v>
      </c>
      <c r="Y19" s="39">
        <v>149</v>
      </c>
      <c r="Z19" s="39">
        <v>127</v>
      </c>
      <c r="AA19" s="39">
        <f t="shared" si="20"/>
        <v>276</v>
      </c>
      <c r="AB19" s="395">
        <f t="shared" si="21"/>
        <v>108294</v>
      </c>
      <c r="AC19" s="370">
        <f t="shared" si="22"/>
        <v>100851</v>
      </c>
      <c r="AD19" s="82">
        <f t="shared" si="23"/>
        <v>209145</v>
      </c>
    </row>
    <row r="20" spans="1:30" ht="18" customHeight="1">
      <c r="A20" s="604" t="s">
        <v>1194</v>
      </c>
      <c r="B20" s="395">
        <v>71800</v>
      </c>
      <c r="C20" s="370">
        <v>65870</v>
      </c>
      <c r="D20" s="374">
        <f t="shared" si="14"/>
        <v>137670</v>
      </c>
      <c r="E20" s="370">
        <v>25455</v>
      </c>
      <c r="F20" s="370">
        <v>24669</v>
      </c>
      <c r="G20" s="370">
        <f t="shared" si="15"/>
        <v>50124</v>
      </c>
      <c r="H20" s="261">
        <v>76</v>
      </c>
      <c r="I20" s="39">
        <v>63</v>
      </c>
      <c r="J20" s="82">
        <f t="shared" si="16"/>
        <v>139</v>
      </c>
      <c r="K20" s="39">
        <v>2</v>
      </c>
      <c r="L20" s="39">
        <v>2</v>
      </c>
      <c r="M20" s="82">
        <f t="shared" si="17"/>
        <v>4</v>
      </c>
      <c r="O20" s="604" t="s">
        <v>1194</v>
      </c>
      <c r="P20" s="261">
        <v>3</v>
      </c>
      <c r="Q20" s="39">
        <v>2</v>
      </c>
      <c r="R20" s="82">
        <f t="shared" si="18"/>
        <v>5</v>
      </c>
      <c r="S20" s="756" t="s">
        <v>1229</v>
      </c>
      <c r="T20" s="39">
        <v>1</v>
      </c>
      <c r="U20" s="82">
        <f t="shared" si="24"/>
        <v>1</v>
      </c>
      <c r="V20" s="756" t="s">
        <v>1229</v>
      </c>
      <c r="W20" s="756" t="s">
        <v>1229</v>
      </c>
      <c r="X20" s="1120" t="s">
        <v>1229</v>
      </c>
      <c r="Y20" s="39">
        <v>20</v>
      </c>
      <c r="Z20" s="39">
        <v>26</v>
      </c>
      <c r="AA20" s="39">
        <f t="shared" si="20"/>
        <v>46</v>
      </c>
      <c r="AB20" s="395">
        <f t="shared" si="21"/>
        <v>97356</v>
      </c>
      <c r="AC20" s="370">
        <f t="shared" si="22"/>
        <v>90633</v>
      </c>
      <c r="AD20" s="82">
        <f t="shared" si="23"/>
        <v>187989</v>
      </c>
    </row>
    <row r="21" spans="1:30" ht="18" customHeight="1">
      <c r="A21" s="604" t="s">
        <v>1221</v>
      </c>
      <c r="B21" s="395">
        <v>115492</v>
      </c>
      <c r="C21" s="370">
        <v>107811</v>
      </c>
      <c r="D21" s="374">
        <f t="shared" si="14"/>
        <v>223303</v>
      </c>
      <c r="E21" s="370">
        <v>64312</v>
      </c>
      <c r="F21" s="370">
        <v>60195</v>
      </c>
      <c r="G21" s="370">
        <f t="shared" si="15"/>
        <v>124507</v>
      </c>
      <c r="H21" s="261">
        <v>1350</v>
      </c>
      <c r="I21" s="39">
        <v>1352</v>
      </c>
      <c r="J21" s="82">
        <f t="shared" si="16"/>
        <v>2702</v>
      </c>
      <c r="K21" s="39">
        <v>9</v>
      </c>
      <c r="L21" s="39">
        <v>13</v>
      </c>
      <c r="M21" s="82">
        <f t="shared" si="17"/>
        <v>22</v>
      </c>
      <c r="O21" s="604" t="s">
        <v>1221</v>
      </c>
      <c r="P21" s="261">
        <v>20</v>
      </c>
      <c r="Q21" s="39">
        <v>17</v>
      </c>
      <c r="R21" s="82">
        <f t="shared" si="18"/>
        <v>37</v>
      </c>
      <c r="S21" s="39">
        <v>3</v>
      </c>
      <c r="T21" s="756" t="s">
        <v>1229</v>
      </c>
      <c r="U21" s="39">
        <f t="shared" si="24"/>
        <v>3</v>
      </c>
      <c r="V21" s="261">
        <v>42</v>
      </c>
      <c r="W21" s="39">
        <v>37</v>
      </c>
      <c r="X21" s="82">
        <f t="shared" si="19"/>
        <v>79</v>
      </c>
      <c r="Y21" s="39">
        <v>408</v>
      </c>
      <c r="Z21" s="39">
        <v>378</v>
      </c>
      <c r="AA21" s="39">
        <f t="shared" si="20"/>
        <v>786</v>
      </c>
      <c r="AB21" s="395">
        <f t="shared" si="21"/>
        <v>181636</v>
      </c>
      <c r="AC21" s="370">
        <f t="shared" si="22"/>
        <v>169803</v>
      </c>
      <c r="AD21" s="82">
        <f t="shared" si="23"/>
        <v>351439</v>
      </c>
    </row>
    <row r="22" spans="1:30" ht="18" customHeight="1">
      <c r="A22" s="604" t="s">
        <v>761</v>
      </c>
      <c r="B22" s="395">
        <v>36567</v>
      </c>
      <c r="C22" s="370">
        <v>34220</v>
      </c>
      <c r="D22" s="374">
        <f t="shared" si="14"/>
        <v>70787</v>
      </c>
      <c r="E22" s="370">
        <v>67875</v>
      </c>
      <c r="F22" s="370">
        <v>65442</v>
      </c>
      <c r="G22" s="370">
        <f t="shared" si="15"/>
        <v>133317</v>
      </c>
      <c r="H22" s="261">
        <v>4</v>
      </c>
      <c r="I22" s="39">
        <v>2</v>
      </c>
      <c r="J22" s="82">
        <f t="shared" si="16"/>
        <v>6</v>
      </c>
      <c r="K22" s="39">
        <v>3</v>
      </c>
      <c r="L22" s="39">
        <v>2</v>
      </c>
      <c r="M22" s="82">
        <f t="shared" si="17"/>
        <v>5</v>
      </c>
      <c r="O22" s="604" t="s">
        <v>761</v>
      </c>
      <c r="P22" s="261">
        <v>1</v>
      </c>
      <c r="Q22" s="756" t="s">
        <v>1229</v>
      </c>
      <c r="R22" s="82">
        <f t="shared" si="18"/>
        <v>1</v>
      </c>
      <c r="S22" s="39">
        <v>4</v>
      </c>
      <c r="T22" s="756" t="s">
        <v>1229</v>
      </c>
      <c r="U22" s="39">
        <f t="shared" si="24"/>
        <v>4</v>
      </c>
      <c r="V22" s="261">
        <v>30</v>
      </c>
      <c r="W22" s="39">
        <v>31</v>
      </c>
      <c r="X22" s="82">
        <f t="shared" si="19"/>
        <v>61</v>
      </c>
      <c r="Y22" s="39">
        <v>100</v>
      </c>
      <c r="Z22" s="39">
        <v>99</v>
      </c>
      <c r="AA22" s="39">
        <f t="shared" si="20"/>
        <v>199</v>
      </c>
      <c r="AB22" s="395">
        <f t="shared" si="21"/>
        <v>104584</v>
      </c>
      <c r="AC22" s="370">
        <f t="shared" si="22"/>
        <v>99796</v>
      </c>
      <c r="AD22" s="82">
        <f t="shared" si="23"/>
        <v>204380</v>
      </c>
    </row>
    <row r="23" spans="1:30" ht="18" customHeight="1">
      <c r="A23" s="150" t="s">
        <v>762</v>
      </c>
      <c r="B23" s="395">
        <v>34019</v>
      </c>
      <c r="C23" s="370">
        <v>31671</v>
      </c>
      <c r="D23" s="374">
        <f t="shared" si="14"/>
        <v>65690</v>
      </c>
      <c r="E23" s="370">
        <v>73590</v>
      </c>
      <c r="F23" s="370">
        <v>68158</v>
      </c>
      <c r="G23" s="370">
        <f t="shared" si="15"/>
        <v>141748</v>
      </c>
      <c r="H23" s="261">
        <v>36</v>
      </c>
      <c r="I23" s="39">
        <v>34</v>
      </c>
      <c r="J23" s="82">
        <f t="shared" si="16"/>
        <v>70</v>
      </c>
      <c r="K23" s="756" t="s">
        <v>1229</v>
      </c>
      <c r="L23" s="756" t="s">
        <v>1229</v>
      </c>
      <c r="M23" s="1120" t="s">
        <v>1229</v>
      </c>
      <c r="O23" s="150" t="s">
        <v>762</v>
      </c>
      <c r="P23" s="261">
        <v>6</v>
      </c>
      <c r="Q23" s="39">
        <v>3</v>
      </c>
      <c r="R23" s="82">
        <f t="shared" si="18"/>
        <v>9</v>
      </c>
      <c r="S23" s="756" t="s">
        <v>1229</v>
      </c>
      <c r="T23" s="756" t="s">
        <v>1229</v>
      </c>
      <c r="U23" s="1120" t="s">
        <v>1229</v>
      </c>
      <c r="V23" s="756" t="s">
        <v>1229</v>
      </c>
      <c r="W23" s="756" t="s">
        <v>1229</v>
      </c>
      <c r="X23" s="1120" t="s">
        <v>1229</v>
      </c>
      <c r="Y23" s="39">
        <v>32</v>
      </c>
      <c r="Z23" s="39">
        <v>31</v>
      </c>
      <c r="AA23" s="39">
        <f t="shared" si="20"/>
        <v>63</v>
      </c>
      <c r="AB23" s="395">
        <f t="shared" si="21"/>
        <v>107683</v>
      </c>
      <c r="AC23" s="370">
        <f t="shared" si="22"/>
        <v>99897</v>
      </c>
      <c r="AD23" s="82">
        <f t="shared" si="23"/>
        <v>207580</v>
      </c>
    </row>
    <row r="24" spans="1:30" ht="18" customHeight="1">
      <c r="A24" s="604" t="s">
        <v>836</v>
      </c>
      <c r="B24" s="395">
        <v>9936</v>
      </c>
      <c r="C24" s="370">
        <v>9423</v>
      </c>
      <c r="D24" s="374">
        <f t="shared" si="14"/>
        <v>19359</v>
      </c>
      <c r="E24" s="370">
        <v>2068</v>
      </c>
      <c r="F24" s="370">
        <v>1851</v>
      </c>
      <c r="G24" s="370">
        <f t="shared" si="15"/>
        <v>3919</v>
      </c>
      <c r="H24" s="261">
        <v>16</v>
      </c>
      <c r="I24" s="39">
        <v>17</v>
      </c>
      <c r="J24" s="82">
        <f t="shared" si="16"/>
        <v>33</v>
      </c>
      <c r="K24" s="756" t="s">
        <v>1229</v>
      </c>
      <c r="L24" s="756" t="s">
        <v>1229</v>
      </c>
      <c r="M24" s="1120" t="s">
        <v>1229</v>
      </c>
      <c r="O24" s="391" t="s">
        <v>836</v>
      </c>
      <c r="P24" s="756" t="s">
        <v>1229</v>
      </c>
      <c r="Q24" s="756" t="s">
        <v>1229</v>
      </c>
      <c r="R24" s="1120" t="s">
        <v>1229</v>
      </c>
      <c r="S24" s="39">
        <v>1</v>
      </c>
      <c r="T24" s="756" t="s">
        <v>1229</v>
      </c>
      <c r="U24" s="39">
        <f t="shared" si="24"/>
        <v>1</v>
      </c>
      <c r="V24" s="261">
        <v>1</v>
      </c>
      <c r="W24" s="756" t="s">
        <v>1229</v>
      </c>
      <c r="X24" s="82">
        <f t="shared" si="19"/>
        <v>1</v>
      </c>
      <c r="Y24" s="39">
        <v>2</v>
      </c>
      <c r="Z24" s="756" t="s">
        <v>1229</v>
      </c>
      <c r="AA24" s="39">
        <f t="shared" si="20"/>
        <v>2</v>
      </c>
      <c r="AB24" s="395">
        <f t="shared" si="21"/>
        <v>12024</v>
      </c>
      <c r="AC24" s="370">
        <f t="shared" si="22"/>
        <v>11291</v>
      </c>
      <c r="AD24" s="82">
        <f t="shared" si="23"/>
        <v>23315</v>
      </c>
    </row>
    <row r="25" spans="1:30" ht="18" customHeight="1">
      <c r="A25" s="604" t="s">
        <v>1222</v>
      </c>
      <c r="B25" s="395">
        <v>20958</v>
      </c>
      <c r="C25" s="370">
        <v>19942</v>
      </c>
      <c r="D25" s="374">
        <f t="shared" si="14"/>
        <v>40900</v>
      </c>
      <c r="E25" s="370">
        <v>1790</v>
      </c>
      <c r="F25" s="370">
        <v>1650</v>
      </c>
      <c r="G25" s="370">
        <f t="shared" si="15"/>
        <v>3440</v>
      </c>
      <c r="H25" s="261">
        <v>242</v>
      </c>
      <c r="I25" s="39">
        <v>265</v>
      </c>
      <c r="J25" s="82">
        <f t="shared" si="16"/>
        <v>507</v>
      </c>
      <c r="K25" s="39">
        <v>8</v>
      </c>
      <c r="L25" s="39">
        <v>5</v>
      </c>
      <c r="M25" s="82">
        <f t="shared" si="17"/>
        <v>13</v>
      </c>
      <c r="O25" s="604" t="s">
        <v>1222</v>
      </c>
      <c r="P25" s="261">
        <v>1</v>
      </c>
      <c r="Q25" s="39">
        <v>1</v>
      </c>
      <c r="R25" s="82">
        <f t="shared" si="18"/>
        <v>2</v>
      </c>
      <c r="S25" s="756" t="s">
        <v>1229</v>
      </c>
      <c r="T25" s="756" t="s">
        <v>1229</v>
      </c>
      <c r="U25" s="1120" t="s">
        <v>1229</v>
      </c>
      <c r="V25" s="261">
        <v>1</v>
      </c>
      <c r="W25" s="39">
        <v>2</v>
      </c>
      <c r="X25" s="82">
        <f t="shared" si="19"/>
        <v>3</v>
      </c>
      <c r="Y25" s="39">
        <v>25</v>
      </c>
      <c r="Z25" s="39">
        <v>23</v>
      </c>
      <c r="AA25" s="39">
        <f t="shared" si="20"/>
        <v>48</v>
      </c>
      <c r="AB25" s="395">
        <f t="shared" si="21"/>
        <v>23025</v>
      </c>
      <c r="AC25" s="370">
        <f t="shared" si="22"/>
        <v>21888</v>
      </c>
      <c r="AD25" s="82">
        <f t="shared" si="23"/>
        <v>44913</v>
      </c>
    </row>
    <row r="26" spans="1:30" ht="18" customHeight="1">
      <c r="A26" s="729" t="s">
        <v>1736</v>
      </c>
      <c r="B26" s="640">
        <v>157579</v>
      </c>
      <c r="C26" s="379">
        <v>147520</v>
      </c>
      <c r="D26" s="444">
        <f t="shared" si="14"/>
        <v>305099</v>
      </c>
      <c r="E26" s="379">
        <v>15571</v>
      </c>
      <c r="F26" s="379">
        <v>14129</v>
      </c>
      <c r="G26" s="379">
        <f t="shared" si="15"/>
        <v>29700</v>
      </c>
      <c r="H26" s="74">
        <v>498</v>
      </c>
      <c r="I26" s="25">
        <v>516</v>
      </c>
      <c r="J26" s="75">
        <f t="shared" si="16"/>
        <v>1014</v>
      </c>
      <c r="K26" s="25">
        <v>129</v>
      </c>
      <c r="L26" s="25">
        <v>103</v>
      </c>
      <c r="M26" s="75">
        <f t="shared" si="17"/>
        <v>232</v>
      </c>
      <c r="O26" s="729" t="s">
        <v>1736</v>
      </c>
      <c r="P26" s="74">
        <v>73</v>
      </c>
      <c r="Q26" s="25">
        <v>62</v>
      </c>
      <c r="R26" s="75">
        <f t="shared" si="18"/>
        <v>135</v>
      </c>
      <c r="S26" s="25">
        <v>19</v>
      </c>
      <c r="T26" s="25">
        <v>11</v>
      </c>
      <c r="U26" s="25">
        <f t="shared" si="24"/>
        <v>30</v>
      </c>
      <c r="V26" s="74">
        <v>182</v>
      </c>
      <c r="W26" s="25">
        <v>152</v>
      </c>
      <c r="X26" s="75">
        <f t="shared" si="19"/>
        <v>334</v>
      </c>
      <c r="Y26" s="25">
        <v>89</v>
      </c>
      <c r="Z26" s="25">
        <v>74</v>
      </c>
      <c r="AA26" s="25">
        <f t="shared" si="20"/>
        <v>163</v>
      </c>
      <c r="AB26" s="640">
        <f t="shared" si="21"/>
        <v>174140</v>
      </c>
      <c r="AC26" s="379">
        <f t="shared" si="22"/>
        <v>162567</v>
      </c>
      <c r="AD26" s="75">
        <f t="shared" si="23"/>
        <v>336707</v>
      </c>
    </row>
    <row r="27" spans="1:30" ht="15" customHeight="1">
      <c r="A27" s="474"/>
      <c r="B27" s="370"/>
      <c r="C27" s="370"/>
      <c r="D27" s="370"/>
      <c r="E27" s="370"/>
      <c r="F27" s="370"/>
      <c r="G27" s="370"/>
      <c r="H27" s="39"/>
      <c r="I27" s="39"/>
      <c r="J27" s="39"/>
      <c r="K27" s="39"/>
      <c r="L27" s="39"/>
      <c r="M27" s="1212" t="s">
        <v>678</v>
      </c>
      <c r="O27" s="474"/>
      <c r="P27" s="39"/>
      <c r="Q27" s="39"/>
      <c r="R27" s="39"/>
      <c r="S27" s="39"/>
      <c r="T27" s="39"/>
      <c r="U27" s="39"/>
      <c r="V27" s="39"/>
      <c r="W27" s="39"/>
      <c r="X27" s="39"/>
      <c r="Y27" s="39"/>
      <c r="Z27" s="39"/>
      <c r="AA27" s="39"/>
      <c r="AB27" s="370"/>
      <c r="AC27" s="370"/>
      <c r="AD27" s="1212" t="s">
        <v>678</v>
      </c>
    </row>
    <row r="28" spans="1:30" ht="14.25" customHeight="1">
      <c r="A28" s="1823" t="s">
        <v>566</v>
      </c>
      <c r="B28" s="1823"/>
      <c r="C28" s="1823"/>
      <c r="D28" s="1823"/>
      <c r="E28" s="1823"/>
      <c r="F28" s="1823"/>
      <c r="G28" s="1823"/>
      <c r="H28" s="1823"/>
      <c r="I28" s="1823"/>
      <c r="J28" s="1823"/>
      <c r="K28" s="1823"/>
      <c r="L28" s="1823"/>
      <c r="M28" s="1823"/>
      <c r="O28" s="1823" t="s">
        <v>1100</v>
      </c>
      <c r="P28" s="1823"/>
      <c r="Q28" s="1823"/>
      <c r="R28" s="1823"/>
      <c r="S28" s="1823"/>
      <c r="T28" s="1823"/>
      <c r="U28" s="1823"/>
      <c r="V28" s="1823"/>
      <c r="W28" s="1823"/>
      <c r="X28" s="1823"/>
      <c r="Y28" s="1823"/>
      <c r="Z28" s="1823"/>
      <c r="AA28" s="1823"/>
      <c r="AB28" s="1823"/>
      <c r="AC28" s="1823"/>
      <c r="AD28" s="1823"/>
    </row>
    <row r="29" spans="1:30" ht="14.25" customHeight="1">
      <c r="A29" s="343"/>
      <c r="B29" s="899"/>
      <c r="C29" s="899"/>
      <c r="D29" s="899"/>
      <c r="E29" s="899"/>
      <c r="F29" s="899"/>
      <c r="G29" s="899"/>
      <c r="H29" s="899"/>
      <c r="I29" s="899"/>
      <c r="J29" s="899"/>
      <c r="K29" s="899"/>
      <c r="L29" s="899"/>
      <c r="M29" s="95" t="s">
        <v>977</v>
      </c>
      <c r="O29" s="343"/>
      <c r="P29" s="899"/>
      <c r="Q29" s="899"/>
      <c r="R29" s="899"/>
      <c r="S29" s="899"/>
      <c r="T29" s="899"/>
      <c r="U29" s="899"/>
      <c r="V29" s="899"/>
      <c r="W29" s="899"/>
      <c r="X29" s="899"/>
      <c r="Y29" s="899"/>
      <c r="Z29" s="899"/>
      <c r="AA29" s="899"/>
      <c r="AB29" s="899"/>
      <c r="AC29" s="899"/>
      <c r="AD29" s="95" t="s">
        <v>977</v>
      </c>
    </row>
    <row r="30" spans="1:30" s="725" customFormat="1" ht="15" customHeight="1">
      <c r="A30" s="1821" t="s">
        <v>1698</v>
      </c>
      <c r="B30" s="1819" t="s">
        <v>1706</v>
      </c>
      <c r="C30" s="1818"/>
      <c r="D30" s="1820"/>
      <c r="E30" s="1818" t="s">
        <v>1707</v>
      </c>
      <c r="F30" s="1818"/>
      <c r="G30" s="1818"/>
      <c r="H30" s="1819" t="s">
        <v>1708</v>
      </c>
      <c r="I30" s="1818"/>
      <c r="J30" s="1820"/>
      <c r="K30" s="1818" t="s">
        <v>1709</v>
      </c>
      <c r="L30" s="1818"/>
      <c r="M30" s="1820"/>
      <c r="O30" s="1821" t="s">
        <v>1698</v>
      </c>
      <c r="P30" s="1819" t="s">
        <v>1710</v>
      </c>
      <c r="Q30" s="1818"/>
      <c r="R30" s="1820"/>
      <c r="S30" s="1818" t="s">
        <v>1711</v>
      </c>
      <c r="T30" s="1818"/>
      <c r="U30" s="1818"/>
      <c r="V30" s="1819" t="s">
        <v>1111</v>
      </c>
      <c r="W30" s="1818"/>
      <c r="X30" s="1820"/>
      <c r="Y30" s="1818" t="s">
        <v>1114</v>
      </c>
      <c r="Z30" s="1818"/>
      <c r="AA30" s="1818"/>
      <c r="AB30" s="1819" t="s">
        <v>958</v>
      </c>
      <c r="AC30" s="1818"/>
      <c r="AD30" s="1820"/>
    </row>
    <row r="31" spans="1:30" s="725" customFormat="1" ht="15" customHeight="1">
      <c r="A31" s="1822"/>
      <c r="B31" s="1297" t="s">
        <v>1003</v>
      </c>
      <c r="C31" s="1298" t="s">
        <v>1004</v>
      </c>
      <c r="D31" s="1299" t="s">
        <v>958</v>
      </c>
      <c r="E31" s="1298" t="s">
        <v>1003</v>
      </c>
      <c r="F31" s="1298" t="s">
        <v>1004</v>
      </c>
      <c r="G31" s="1298" t="s">
        <v>958</v>
      </c>
      <c r="H31" s="1297" t="s">
        <v>1003</v>
      </c>
      <c r="I31" s="1298" t="s">
        <v>1004</v>
      </c>
      <c r="J31" s="1299" t="s">
        <v>958</v>
      </c>
      <c r="K31" s="1298" t="s">
        <v>1003</v>
      </c>
      <c r="L31" s="1298" t="s">
        <v>1004</v>
      </c>
      <c r="M31" s="1299" t="s">
        <v>958</v>
      </c>
      <c r="O31" s="1822"/>
      <c r="P31" s="1297" t="s">
        <v>1003</v>
      </c>
      <c r="Q31" s="1298" t="s">
        <v>1004</v>
      </c>
      <c r="R31" s="1299" t="s">
        <v>958</v>
      </c>
      <c r="S31" s="1298" t="s">
        <v>1003</v>
      </c>
      <c r="T31" s="1298" t="s">
        <v>1004</v>
      </c>
      <c r="U31" s="1298" t="s">
        <v>958</v>
      </c>
      <c r="V31" s="1297" t="s">
        <v>1003</v>
      </c>
      <c r="W31" s="1298" t="s">
        <v>1004</v>
      </c>
      <c r="X31" s="1299" t="s">
        <v>958</v>
      </c>
      <c r="Y31" s="1298" t="s">
        <v>1003</v>
      </c>
      <c r="Z31" s="1298" t="s">
        <v>1004</v>
      </c>
      <c r="AA31" s="1298" t="s">
        <v>958</v>
      </c>
      <c r="AB31" s="1297" t="s">
        <v>1003</v>
      </c>
      <c r="AC31" s="1298" t="s">
        <v>1004</v>
      </c>
      <c r="AD31" s="1299" t="s">
        <v>958</v>
      </c>
    </row>
    <row r="32" spans="1:30" s="725" customFormat="1" ht="15" customHeight="1">
      <c r="A32" s="1300" t="s">
        <v>928</v>
      </c>
      <c r="B32" s="1300" t="s">
        <v>929</v>
      </c>
      <c r="C32" s="1301" t="s">
        <v>930</v>
      </c>
      <c r="D32" s="1302" t="s">
        <v>931</v>
      </c>
      <c r="E32" s="1301" t="s">
        <v>932</v>
      </c>
      <c r="F32" s="1301" t="s">
        <v>933</v>
      </c>
      <c r="G32" s="1301" t="s">
        <v>934</v>
      </c>
      <c r="H32" s="1300" t="s">
        <v>959</v>
      </c>
      <c r="I32" s="1301" t="s">
        <v>960</v>
      </c>
      <c r="J32" s="1302" t="s">
        <v>961</v>
      </c>
      <c r="K32" s="1301" t="s">
        <v>962</v>
      </c>
      <c r="L32" s="1301" t="s">
        <v>1037</v>
      </c>
      <c r="M32" s="1302" t="s">
        <v>1038</v>
      </c>
      <c r="N32" s="726"/>
      <c r="O32" s="1300" t="s">
        <v>928</v>
      </c>
      <c r="P32" s="1300" t="s">
        <v>1039</v>
      </c>
      <c r="Q32" s="1301" t="s">
        <v>1040</v>
      </c>
      <c r="R32" s="1302" t="s">
        <v>1041</v>
      </c>
      <c r="S32" s="1301" t="s">
        <v>1042</v>
      </c>
      <c r="T32" s="1301" t="s">
        <v>1044</v>
      </c>
      <c r="U32" s="1301" t="s">
        <v>1043</v>
      </c>
      <c r="V32" s="1300" t="s">
        <v>1286</v>
      </c>
      <c r="W32" s="1301" t="s">
        <v>1288</v>
      </c>
      <c r="X32" s="1302" t="s">
        <v>1289</v>
      </c>
      <c r="Y32" s="1301" t="s">
        <v>53</v>
      </c>
      <c r="Z32" s="1301" t="s">
        <v>54</v>
      </c>
      <c r="AA32" s="1301" t="s">
        <v>55</v>
      </c>
      <c r="AB32" s="1300" t="s">
        <v>56</v>
      </c>
      <c r="AC32" s="1301" t="s">
        <v>57</v>
      </c>
      <c r="AD32" s="1302" t="s">
        <v>58</v>
      </c>
    </row>
    <row r="33" spans="1:30" ht="18" customHeight="1">
      <c r="A33" s="495" t="s">
        <v>315</v>
      </c>
      <c r="B33" s="795">
        <f t="shared" ref="B33:M33" si="25">SUM(B34:B37)</f>
        <v>302971</v>
      </c>
      <c r="C33" s="780">
        <f t="shared" si="25"/>
        <v>285619</v>
      </c>
      <c r="D33" s="781">
        <f t="shared" si="25"/>
        <v>588590</v>
      </c>
      <c r="E33" s="780">
        <f t="shared" si="25"/>
        <v>173080</v>
      </c>
      <c r="F33" s="780">
        <f t="shared" si="25"/>
        <v>168349</v>
      </c>
      <c r="G33" s="780">
        <f t="shared" si="25"/>
        <v>341429</v>
      </c>
      <c r="H33" s="795">
        <f t="shared" si="25"/>
        <v>5648</v>
      </c>
      <c r="I33" s="780">
        <f t="shared" si="25"/>
        <v>5519</v>
      </c>
      <c r="J33" s="781">
        <f t="shared" si="25"/>
        <v>11167</v>
      </c>
      <c r="K33" s="780">
        <f t="shared" si="25"/>
        <v>13</v>
      </c>
      <c r="L33" s="780">
        <f t="shared" si="25"/>
        <v>8</v>
      </c>
      <c r="M33" s="781">
        <f t="shared" si="25"/>
        <v>21</v>
      </c>
      <c r="O33" s="495" t="s">
        <v>315</v>
      </c>
      <c r="P33" s="795">
        <f t="shared" ref="P33:AD33" si="26">SUM(P34:P37)</f>
        <v>17</v>
      </c>
      <c r="Q33" s="780">
        <f t="shared" si="26"/>
        <v>13</v>
      </c>
      <c r="R33" s="781">
        <f t="shared" si="26"/>
        <v>30</v>
      </c>
      <c r="S33" s="780">
        <f t="shared" si="26"/>
        <v>15</v>
      </c>
      <c r="T33" s="780">
        <f t="shared" si="26"/>
        <v>15</v>
      </c>
      <c r="U33" s="780">
        <f t="shared" si="26"/>
        <v>30</v>
      </c>
      <c r="V33" s="795">
        <f t="shared" si="26"/>
        <v>194</v>
      </c>
      <c r="W33" s="780">
        <f t="shared" si="26"/>
        <v>190</v>
      </c>
      <c r="X33" s="781">
        <f t="shared" si="26"/>
        <v>384</v>
      </c>
      <c r="Y33" s="780">
        <f t="shared" si="26"/>
        <v>174</v>
      </c>
      <c r="Z33" s="780">
        <f t="shared" si="26"/>
        <v>183</v>
      </c>
      <c r="AA33" s="780">
        <f t="shared" si="26"/>
        <v>357</v>
      </c>
      <c r="AB33" s="795">
        <f t="shared" si="26"/>
        <v>482112</v>
      </c>
      <c r="AC33" s="780">
        <f t="shared" si="26"/>
        <v>459896</v>
      </c>
      <c r="AD33" s="781">
        <f t="shared" si="26"/>
        <v>942008</v>
      </c>
    </row>
    <row r="34" spans="1:30" ht="18" customHeight="1">
      <c r="A34" s="604" t="s">
        <v>1223</v>
      </c>
      <c r="B34" s="395">
        <v>82285</v>
      </c>
      <c r="C34" s="370">
        <v>77508</v>
      </c>
      <c r="D34" s="374">
        <f>SUM(B34:C34)</f>
        <v>159793</v>
      </c>
      <c r="E34" s="370">
        <v>42364</v>
      </c>
      <c r="F34" s="370">
        <v>41637</v>
      </c>
      <c r="G34" s="370">
        <f>SUM(E34:F34)</f>
        <v>84001</v>
      </c>
      <c r="H34" s="261">
        <v>421</v>
      </c>
      <c r="I34" s="39">
        <v>362</v>
      </c>
      <c r="J34" s="82">
        <f>SUM(H34:I34)</f>
        <v>783</v>
      </c>
      <c r="K34" s="39">
        <v>1</v>
      </c>
      <c r="L34" s="39">
        <v>1</v>
      </c>
      <c r="M34" s="82">
        <f>SUM(K34:L34)</f>
        <v>2</v>
      </c>
      <c r="O34" s="604" t="s">
        <v>1223</v>
      </c>
      <c r="P34" s="261">
        <v>1</v>
      </c>
      <c r="Q34" s="756" t="s">
        <v>1229</v>
      </c>
      <c r="R34" s="82">
        <f>SUM(P34:Q34)</f>
        <v>1</v>
      </c>
      <c r="S34" s="756" t="s">
        <v>1229</v>
      </c>
      <c r="T34" s="756" t="s">
        <v>1229</v>
      </c>
      <c r="U34" s="1120" t="s">
        <v>1229</v>
      </c>
      <c r="V34" s="756" t="s">
        <v>1229</v>
      </c>
      <c r="W34" s="756" t="s">
        <v>1229</v>
      </c>
      <c r="X34" s="1120" t="s">
        <v>1229</v>
      </c>
      <c r="Y34" s="39">
        <v>25</v>
      </c>
      <c r="Z34" s="39">
        <v>22</v>
      </c>
      <c r="AA34" s="39">
        <f>SUM(Y34:Z34)</f>
        <v>47</v>
      </c>
      <c r="AB34" s="395">
        <f t="shared" ref="AB34:AC37" si="27">SUM(B34,E34,H34,K34,P34,S34,V34,Y34)</f>
        <v>125097</v>
      </c>
      <c r="AC34" s="370">
        <f t="shared" si="27"/>
        <v>119530</v>
      </c>
      <c r="AD34" s="82">
        <f>SUM(AB34:AC34)</f>
        <v>244627</v>
      </c>
    </row>
    <row r="35" spans="1:30" ht="18" customHeight="1">
      <c r="A35" s="604" t="s">
        <v>1224</v>
      </c>
      <c r="B35" s="395">
        <v>36860</v>
      </c>
      <c r="C35" s="370">
        <v>34680</v>
      </c>
      <c r="D35" s="374">
        <f>SUM(B35:C35)</f>
        <v>71540</v>
      </c>
      <c r="E35" s="370">
        <v>63200</v>
      </c>
      <c r="F35" s="370">
        <v>60586</v>
      </c>
      <c r="G35" s="370">
        <f>SUM(E35:F35)</f>
        <v>123786</v>
      </c>
      <c r="H35" s="261">
        <v>274</v>
      </c>
      <c r="I35" s="39">
        <v>243</v>
      </c>
      <c r="J35" s="82">
        <f>SUM(H35:I35)</f>
        <v>517</v>
      </c>
      <c r="K35" s="39">
        <v>5</v>
      </c>
      <c r="L35" s="39">
        <v>4</v>
      </c>
      <c r="M35" s="82">
        <f>SUM(K35:L35)</f>
        <v>9</v>
      </c>
      <c r="O35" s="604" t="s">
        <v>1224</v>
      </c>
      <c r="P35" s="261">
        <v>14</v>
      </c>
      <c r="Q35" s="39">
        <v>11</v>
      </c>
      <c r="R35" s="82">
        <f>SUM(P35:Q35)</f>
        <v>25</v>
      </c>
      <c r="S35" s="39">
        <v>15</v>
      </c>
      <c r="T35" s="39">
        <v>15</v>
      </c>
      <c r="U35" s="39">
        <f>SUM(S35:T35)</f>
        <v>30</v>
      </c>
      <c r="V35" s="261">
        <v>5</v>
      </c>
      <c r="W35" s="39">
        <v>2</v>
      </c>
      <c r="X35" s="82">
        <f>SUM(V35:W35)</f>
        <v>7</v>
      </c>
      <c r="Y35" s="39">
        <v>24</v>
      </c>
      <c r="Z35" s="39">
        <v>29</v>
      </c>
      <c r="AA35" s="39">
        <f>SUM(Y35:Z35)</f>
        <v>53</v>
      </c>
      <c r="AB35" s="395">
        <f t="shared" si="27"/>
        <v>100397</v>
      </c>
      <c r="AC35" s="370">
        <f t="shared" si="27"/>
        <v>95570</v>
      </c>
      <c r="AD35" s="82">
        <f>SUM(AB35:AC35)</f>
        <v>195967</v>
      </c>
    </row>
    <row r="36" spans="1:30" ht="18" customHeight="1">
      <c r="A36" s="604" t="s">
        <v>1197</v>
      </c>
      <c r="B36" s="395">
        <v>81097</v>
      </c>
      <c r="C36" s="370">
        <v>75554</v>
      </c>
      <c r="D36" s="374">
        <f>SUM(B36:C36)</f>
        <v>156651</v>
      </c>
      <c r="E36" s="370">
        <v>57977</v>
      </c>
      <c r="F36" s="370">
        <v>56759</v>
      </c>
      <c r="G36" s="370">
        <f>SUM(E36:F36)</f>
        <v>114736</v>
      </c>
      <c r="H36" s="261">
        <v>3520</v>
      </c>
      <c r="I36" s="39">
        <v>3455</v>
      </c>
      <c r="J36" s="82">
        <f>SUM(H36:I36)</f>
        <v>6975</v>
      </c>
      <c r="K36" s="39">
        <v>4</v>
      </c>
      <c r="L36" s="39">
        <v>3</v>
      </c>
      <c r="M36" s="82">
        <f>SUM(K36:L36)</f>
        <v>7</v>
      </c>
      <c r="O36" s="604" t="s">
        <v>1197</v>
      </c>
      <c r="P36" s="261">
        <v>1</v>
      </c>
      <c r="Q36" s="39">
        <v>1</v>
      </c>
      <c r="R36" s="82">
        <f>SUM(P36:Q36)</f>
        <v>2</v>
      </c>
      <c r="S36" s="756" t="s">
        <v>1229</v>
      </c>
      <c r="T36" s="756" t="s">
        <v>1229</v>
      </c>
      <c r="U36" s="1120" t="s">
        <v>1229</v>
      </c>
      <c r="V36" s="261">
        <v>24</v>
      </c>
      <c r="W36" s="39">
        <v>21</v>
      </c>
      <c r="X36" s="82">
        <f>SUM(V36:W36)</f>
        <v>45</v>
      </c>
      <c r="Y36" s="39">
        <v>82</v>
      </c>
      <c r="Z36" s="39">
        <v>94</v>
      </c>
      <c r="AA36" s="39">
        <f>SUM(Y36:Z36)</f>
        <v>176</v>
      </c>
      <c r="AB36" s="395">
        <f t="shared" si="27"/>
        <v>142705</v>
      </c>
      <c r="AC36" s="370">
        <f t="shared" si="27"/>
        <v>135887</v>
      </c>
      <c r="AD36" s="82">
        <f>SUM(AB36:AC36)</f>
        <v>278592</v>
      </c>
    </row>
    <row r="37" spans="1:30" ht="18" customHeight="1">
      <c r="A37" s="604" t="s">
        <v>1198</v>
      </c>
      <c r="B37" s="395">
        <v>102729</v>
      </c>
      <c r="C37" s="370">
        <v>97877</v>
      </c>
      <c r="D37" s="374">
        <f>SUM(B37:C37)</f>
        <v>200606</v>
      </c>
      <c r="E37" s="370">
        <v>9539</v>
      </c>
      <c r="F37" s="370">
        <v>9367</v>
      </c>
      <c r="G37" s="370">
        <f>SUM(E37:F37)</f>
        <v>18906</v>
      </c>
      <c r="H37" s="261">
        <v>1433</v>
      </c>
      <c r="I37" s="39">
        <v>1459</v>
      </c>
      <c r="J37" s="82">
        <f>SUM(H37:I37)</f>
        <v>2892</v>
      </c>
      <c r="K37" s="39">
        <v>3</v>
      </c>
      <c r="L37" s="756" t="s">
        <v>1229</v>
      </c>
      <c r="M37" s="82">
        <f>SUM(K37:L37)</f>
        <v>3</v>
      </c>
      <c r="O37" s="604" t="s">
        <v>1198</v>
      </c>
      <c r="P37" s="261">
        <v>1</v>
      </c>
      <c r="Q37" s="39">
        <v>1</v>
      </c>
      <c r="R37" s="82">
        <f>SUM(P37:Q37)</f>
        <v>2</v>
      </c>
      <c r="S37" s="756" t="s">
        <v>1229</v>
      </c>
      <c r="T37" s="756" t="s">
        <v>1229</v>
      </c>
      <c r="U37" s="1120" t="s">
        <v>1229</v>
      </c>
      <c r="V37" s="261">
        <v>165</v>
      </c>
      <c r="W37" s="39">
        <v>167</v>
      </c>
      <c r="X37" s="82">
        <f>SUM(V37:W37)</f>
        <v>332</v>
      </c>
      <c r="Y37" s="39">
        <v>43</v>
      </c>
      <c r="Z37" s="39">
        <v>38</v>
      </c>
      <c r="AA37" s="39">
        <f>SUM(Y37:Z37)</f>
        <v>81</v>
      </c>
      <c r="AB37" s="395">
        <f t="shared" si="27"/>
        <v>113913</v>
      </c>
      <c r="AC37" s="370">
        <f t="shared" si="27"/>
        <v>108909</v>
      </c>
      <c r="AD37" s="82">
        <f>SUM(AB37:AC37)</f>
        <v>222822</v>
      </c>
    </row>
    <row r="38" spans="1:30" ht="18" customHeight="1">
      <c r="A38" s="217" t="s">
        <v>25</v>
      </c>
      <c r="B38" s="268">
        <f t="shared" ref="B38:M38" si="28">SUM(B39:B48)</f>
        <v>587256</v>
      </c>
      <c r="C38" s="343">
        <f t="shared" si="28"/>
        <v>545467</v>
      </c>
      <c r="D38" s="368">
        <f t="shared" si="28"/>
        <v>1132723</v>
      </c>
      <c r="E38" s="343">
        <f t="shared" si="28"/>
        <v>352983</v>
      </c>
      <c r="F38" s="343">
        <f t="shared" si="28"/>
        <v>336565</v>
      </c>
      <c r="G38" s="343">
        <f t="shared" si="28"/>
        <v>689548</v>
      </c>
      <c r="H38" s="268">
        <f t="shared" si="28"/>
        <v>6699</v>
      </c>
      <c r="I38" s="343">
        <f t="shared" si="28"/>
        <v>6360</v>
      </c>
      <c r="J38" s="368">
        <f t="shared" si="28"/>
        <v>13059</v>
      </c>
      <c r="K38" s="343">
        <f t="shared" si="28"/>
        <v>98</v>
      </c>
      <c r="L38" s="343">
        <f t="shared" si="28"/>
        <v>64</v>
      </c>
      <c r="M38" s="368">
        <f t="shared" si="28"/>
        <v>162</v>
      </c>
      <c r="O38" s="217" t="s">
        <v>25</v>
      </c>
      <c r="P38" s="268">
        <f t="shared" ref="P38:AD38" si="29">SUM(P39:P48)</f>
        <v>16</v>
      </c>
      <c r="Q38" s="343">
        <f t="shared" si="29"/>
        <v>14</v>
      </c>
      <c r="R38" s="368">
        <f t="shared" si="29"/>
        <v>30</v>
      </c>
      <c r="S38" s="343">
        <f t="shared" si="29"/>
        <v>6</v>
      </c>
      <c r="T38" s="343">
        <f t="shared" si="29"/>
        <v>4</v>
      </c>
      <c r="U38" s="343">
        <f t="shared" si="29"/>
        <v>10</v>
      </c>
      <c r="V38" s="268">
        <f t="shared" si="29"/>
        <v>22</v>
      </c>
      <c r="W38" s="343">
        <f t="shared" si="29"/>
        <v>19</v>
      </c>
      <c r="X38" s="368">
        <f t="shared" si="29"/>
        <v>41</v>
      </c>
      <c r="Y38" s="343">
        <f t="shared" si="29"/>
        <v>622</v>
      </c>
      <c r="Z38" s="343">
        <f t="shared" si="29"/>
        <v>574</v>
      </c>
      <c r="AA38" s="343">
        <f t="shared" si="29"/>
        <v>1196</v>
      </c>
      <c r="AB38" s="268">
        <f t="shared" si="29"/>
        <v>947702</v>
      </c>
      <c r="AC38" s="343">
        <f t="shared" si="29"/>
        <v>889067</v>
      </c>
      <c r="AD38" s="368">
        <f t="shared" si="29"/>
        <v>1836769</v>
      </c>
    </row>
    <row r="39" spans="1:30" ht="18" customHeight="1">
      <c r="A39" s="604" t="s">
        <v>1225</v>
      </c>
      <c r="B39" s="395">
        <v>51124</v>
      </c>
      <c r="C39" s="370">
        <v>47203</v>
      </c>
      <c r="D39" s="374">
        <f t="shared" ref="D39:D48" si="30">SUM(B39:C39)</f>
        <v>98327</v>
      </c>
      <c r="E39" s="370">
        <v>64842</v>
      </c>
      <c r="F39" s="370">
        <v>61332</v>
      </c>
      <c r="G39" s="370">
        <f t="shared" ref="G39:G48" si="31">SUM(E39:F39)</f>
        <v>126174</v>
      </c>
      <c r="H39" s="261">
        <v>1816</v>
      </c>
      <c r="I39" s="39">
        <v>1834</v>
      </c>
      <c r="J39" s="82">
        <f t="shared" ref="J39:J48" si="32">SUM(H39:I39)</f>
        <v>3650</v>
      </c>
      <c r="K39" s="39">
        <v>2</v>
      </c>
      <c r="L39" s="756" t="s">
        <v>1229</v>
      </c>
      <c r="M39" s="82">
        <f t="shared" ref="M39:M48" si="33">SUM(K39:L39)</f>
        <v>2</v>
      </c>
      <c r="O39" s="604" t="s">
        <v>1225</v>
      </c>
      <c r="P39" s="261">
        <v>2</v>
      </c>
      <c r="Q39" s="39">
        <v>3</v>
      </c>
      <c r="R39" s="82">
        <f t="shared" ref="R39:R48" si="34">SUM(P39:Q39)</f>
        <v>5</v>
      </c>
      <c r="S39" s="756" t="s">
        <v>1229</v>
      </c>
      <c r="T39" s="39">
        <v>1</v>
      </c>
      <c r="U39" s="82">
        <f>SUM(S39:T39)</f>
        <v>1</v>
      </c>
      <c r="V39" s="756" t="s">
        <v>1229</v>
      </c>
      <c r="W39" s="756" t="s">
        <v>1229</v>
      </c>
      <c r="X39" s="1120" t="s">
        <v>1229</v>
      </c>
      <c r="Y39" s="39">
        <v>84</v>
      </c>
      <c r="Z39" s="39">
        <v>92</v>
      </c>
      <c r="AA39" s="39">
        <f t="shared" ref="AA39:AA48" si="35">SUM(Y39:Z39)</f>
        <v>176</v>
      </c>
      <c r="AB39" s="395">
        <f t="shared" ref="AB39:AB48" si="36">SUM(B39,E39,H39,K39,P39,S39,V39,Y39)</f>
        <v>117870</v>
      </c>
      <c r="AC39" s="370">
        <f t="shared" ref="AC39:AC48" si="37">SUM(C39,F39,I39,L39,Q39,T39,W39,Z39)</f>
        <v>110465</v>
      </c>
      <c r="AD39" s="82">
        <f t="shared" ref="AD39:AD48" si="38">SUM(AB39:AC39)</f>
        <v>228335</v>
      </c>
    </row>
    <row r="40" spans="1:30" ht="18" customHeight="1">
      <c r="A40" s="604" t="s">
        <v>1226</v>
      </c>
      <c r="B40" s="395">
        <v>69672</v>
      </c>
      <c r="C40" s="370">
        <v>64940</v>
      </c>
      <c r="D40" s="374">
        <f t="shared" si="30"/>
        <v>134612</v>
      </c>
      <c r="E40" s="370">
        <v>63930</v>
      </c>
      <c r="F40" s="370">
        <v>60472</v>
      </c>
      <c r="G40" s="370">
        <f t="shared" si="31"/>
        <v>124402</v>
      </c>
      <c r="H40" s="261">
        <v>1470</v>
      </c>
      <c r="I40" s="39">
        <v>1369</v>
      </c>
      <c r="J40" s="82">
        <f t="shared" si="32"/>
        <v>2839</v>
      </c>
      <c r="K40" s="39">
        <v>4</v>
      </c>
      <c r="L40" s="39">
        <v>3</v>
      </c>
      <c r="M40" s="82">
        <f t="shared" si="33"/>
        <v>7</v>
      </c>
      <c r="O40" s="604" t="s">
        <v>1226</v>
      </c>
      <c r="P40" s="261">
        <v>1</v>
      </c>
      <c r="Q40" s="39">
        <v>2</v>
      </c>
      <c r="R40" s="82">
        <f t="shared" si="34"/>
        <v>3</v>
      </c>
      <c r="S40" s="756" t="s">
        <v>1229</v>
      </c>
      <c r="T40" s="756" t="s">
        <v>1229</v>
      </c>
      <c r="U40" s="1120" t="s">
        <v>1229</v>
      </c>
      <c r="V40" s="269" t="s">
        <v>1229</v>
      </c>
      <c r="W40" s="39">
        <v>1</v>
      </c>
      <c r="X40" s="82">
        <f>SUM(V40:W40)</f>
        <v>1</v>
      </c>
      <c r="Y40" s="39">
        <v>117</v>
      </c>
      <c r="Z40" s="39">
        <v>111</v>
      </c>
      <c r="AA40" s="39">
        <f t="shared" si="35"/>
        <v>228</v>
      </c>
      <c r="AB40" s="395">
        <f t="shared" si="36"/>
        <v>135194</v>
      </c>
      <c r="AC40" s="370">
        <f t="shared" si="37"/>
        <v>126898</v>
      </c>
      <c r="AD40" s="82">
        <f t="shared" si="38"/>
        <v>262092</v>
      </c>
    </row>
    <row r="41" spans="1:30" ht="18" customHeight="1">
      <c r="A41" s="604" t="s">
        <v>837</v>
      </c>
      <c r="B41" s="395">
        <v>62493</v>
      </c>
      <c r="C41" s="370">
        <v>57982</v>
      </c>
      <c r="D41" s="374">
        <f t="shared" si="30"/>
        <v>120475</v>
      </c>
      <c r="E41" s="370">
        <v>31824</v>
      </c>
      <c r="F41" s="370">
        <v>30269</v>
      </c>
      <c r="G41" s="370">
        <f t="shared" si="31"/>
        <v>62093</v>
      </c>
      <c r="H41" s="261">
        <v>117</v>
      </c>
      <c r="I41" s="39">
        <v>105</v>
      </c>
      <c r="J41" s="82">
        <f t="shared" si="32"/>
        <v>222</v>
      </c>
      <c r="K41" s="39">
        <v>4</v>
      </c>
      <c r="L41" s="39">
        <v>3</v>
      </c>
      <c r="M41" s="82">
        <f t="shared" si="33"/>
        <v>7</v>
      </c>
      <c r="O41" s="604" t="s">
        <v>837</v>
      </c>
      <c r="P41" s="261">
        <v>4</v>
      </c>
      <c r="Q41" s="39">
        <v>1</v>
      </c>
      <c r="R41" s="82">
        <f t="shared" si="34"/>
        <v>5</v>
      </c>
      <c r="S41" s="39">
        <v>1</v>
      </c>
      <c r="T41" s="39">
        <v>1</v>
      </c>
      <c r="U41" s="82">
        <f>SUM(S41:T41)</f>
        <v>2</v>
      </c>
      <c r="V41" s="756" t="s">
        <v>1229</v>
      </c>
      <c r="W41" s="756" t="s">
        <v>1229</v>
      </c>
      <c r="X41" s="1120" t="s">
        <v>1229</v>
      </c>
      <c r="Y41" s="39">
        <v>177</v>
      </c>
      <c r="Z41" s="39">
        <v>150</v>
      </c>
      <c r="AA41" s="39">
        <f t="shared" si="35"/>
        <v>327</v>
      </c>
      <c r="AB41" s="395">
        <f t="shared" si="36"/>
        <v>94620</v>
      </c>
      <c r="AC41" s="370">
        <f t="shared" si="37"/>
        <v>88511</v>
      </c>
      <c r="AD41" s="82">
        <f t="shared" si="38"/>
        <v>183131</v>
      </c>
    </row>
    <row r="42" spans="1:30" ht="18" customHeight="1">
      <c r="A42" s="604" t="s">
        <v>1203</v>
      </c>
      <c r="B42" s="395">
        <v>79387</v>
      </c>
      <c r="C42" s="370">
        <v>74079</v>
      </c>
      <c r="D42" s="374">
        <f t="shared" si="30"/>
        <v>153466</v>
      </c>
      <c r="E42" s="370">
        <v>44912</v>
      </c>
      <c r="F42" s="370">
        <v>43318</v>
      </c>
      <c r="G42" s="370">
        <f t="shared" si="31"/>
        <v>88230</v>
      </c>
      <c r="H42" s="261">
        <v>490</v>
      </c>
      <c r="I42" s="39">
        <v>466</v>
      </c>
      <c r="J42" s="82">
        <f t="shared" si="32"/>
        <v>956</v>
      </c>
      <c r="K42" s="39">
        <v>9</v>
      </c>
      <c r="L42" s="39">
        <v>4</v>
      </c>
      <c r="M42" s="82">
        <f t="shared" si="33"/>
        <v>13</v>
      </c>
      <c r="O42" s="391" t="s">
        <v>1203</v>
      </c>
      <c r="P42" s="756" t="s">
        <v>1229</v>
      </c>
      <c r="Q42" s="756" t="s">
        <v>1229</v>
      </c>
      <c r="R42" s="1120" t="s">
        <v>1229</v>
      </c>
      <c r="S42" s="756" t="s">
        <v>1229</v>
      </c>
      <c r="T42" s="756" t="s">
        <v>1229</v>
      </c>
      <c r="U42" s="1120" t="s">
        <v>1229</v>
      </c>
      <c r="V42" s="756" t="s">
        <v>1229</v>
      </c>
      <c r="W42" s="756" t="s">
        <v>1229</v>
      </c>
      <c r="X42" s="1120" t="s">
        <v>1229</v>
      </c>
      <c r="Y42" s="39">
        <v>38</v>
      </c>
      <c r="Z42" s="39">
        <v>49</v>
      </c>
      <c r="AA42" s="39">
        <f t="shared" si="35"/>
        <v>87</v>
      </c>
      <c r="AB42" s="395">
        <f t="shared" si="36"/>
        <v>124836</v>
      </c>
      <c r="AC42" s="370">
        <f t="shared" si="37"/>
        <v>117916</v>
      </c>
      <c r="AD42" s="82">
        <f t="shared" si="38"/>
        <v>242752</v>
      </c>
    </row>
    <row r="43" spans="1:30" ht="18" customHeight="1">
      <c r="A43" s="604" t="s">
        <v>1204</v>
      </c>
      <c r="B43" s="395">
        <v>78188</v>
      </c>
      <c r="C43" s="370">
        <v>72841</v>
      </c>
      <c r="D43" s="374">
        <f t="shared" si="30"/>
        <v>151029</v>
      </c>
      <c r="E43" s="370">
        <v>35955</v>
      </c>
      <c r="F43" s="370">
        <v>34534</v>
      </c>
      <c r="G43" s="370">
        <f t="shared" si="31"/>
        <v>70489</v>
      </c>
      <c r="H43" s="261">
        <v>23</v>
      </c>
      <c r="I43" s="39">
        <v>34</v>
      </c>
      <c r="J43" s="82">
        <f t="shared" si="32"/>
        <v>57</v>
      </c>
      <c r="K43" s="39">
        <v>13</v>
      </c>
      <c r="L43" s="39">
        <v>12</v>
      </c>
      <c r="M43" s="82">
        <f t="shared" si="33"/>
        <v>25</v>
      </c>
      <c r="O43" s="604" t="s">
        <v>1204</v>
      </c>
      <c r="P43" s="261">
        <v>3</v>
      </c>
      <c r="Q43" s="39">
        <v>3</v>
      </c>
      <c r="R43" s="82">
        <f t="shared" si="34"/>
        <v>6</v>
      </c>
      <c r="S43" s="756" t="s">
        <v>1229</v>
      </c>
      <c r="T43" s="756" t="s">
        <v>1229</v>
      </c>
      <c r="U43" s="1120" t="s">
        <v>1229</v>
      </c>
      <c r="V43" s="756" t="s">
        <v>1229</v>
      </c>
      <c r="W43" s="756" t="s">
        <v>1229</v>
      </c>
      <c r="X43" s="1120" t="s">
        <v>1229</v>
      </c>
      <c r="Y43" s="39">
        <v>50</v>
      </c>
      <c r="Z43" s="39">
        <v>39</v>
      </c>
      <c r="AA43" s="39">
        <f t="shared" si="35"/>
        <v>89</v>
      </c>
      <c r="AB43" s="395">
        <f t="shared" si="36"/>
        <v>114232</v>
      </c>
      <c r="AC43" s="370">
        <f t="shared" si="37"/>
        <v>107463</v>
      </c>
      <c r="AD43" s="82">
        <f t="shared" si="38"/>
        <v>221695</v>
      </c>
    </row>
    <row r="44" spans="1:30" ht="18" customHeight="1">
      <c r="A44" s="604" t="s">
        <v>1744</v>
      </c>
      <c r="B44" s="395">
        <v>36040</v>
      </c>
      <c r="C44" s="370">
        <v>33161</v>
      </c>
      <c r="D44" s="374">
        <f t="shared" si="30"/>
        <v>69201</v>
      </c>
      <c r="E44" s="370">
        <v>33014</v>
      </c>
      <c r="F44" s="370">
        <v>31064</v>
      </c>
      <c r="G44" s="370">
        <f t="shared" si="31"/>
        <v>64078</v>
      </c>
      <c r="H44" s="261">
        <v>3</v>
      </c>
      <c r="I44" s="39">
        <v>8</v>
      </c>
      <c r="J44" s="82">
        <f t="shared" si="32"/>
        <v>11</v>
      </c>
      <c r="K44" s="39">
        <v>18</v>
      </c>
      <c r="L44" s="39">
        <v>8</v>
      </c>
      <c r="M44" s="82">
        <f t="shared" si="33"/>
        <v>26</v>
      </c>
      <c r="O44" s="604" t="s">
        <v>1744</v>
      </c>
      <c r="P44" s="261">
        <v>1</v>
      </c>
      <c r="Q44" s="756" t="s">
        <v>1229</v>
      </c>
      <c r="R44" s="82">
        <f t="shared" si="34"/>
        <v>1</v>
      </c>
      <c r="S44" s="756" t="s">
        <v>1229</v>
      </c>
      <c r="T44" s="756" t="s">
        <v>1229</v>
      </c>
      <c r="U44" s="1120" t="s">
        <v>1229</v>
      </c>
      <c r="V44" s="261">
        <v>2</v>
      </c>
      <c r="W44" s="756" t="s">
        <v>1229</v>
      </c>
      <c r="X44" s="82">
        <f>SUM(V44:W44)</f>
        <v>2</v>
      </c>
      <c r="Y44" s="39">
        <v>16</v>
      </c>
      <c r="Z44" s="39">
        <v>31</v>
      </c>
      <c r="AA44" s="39">
        <f t="shared" si="35"/>
        <v>47</v>
      </c>
      <c r="AB44" s="395">
        <f t="shared" si="36"/>
        <v>69094</v>
      </c>
      <c r="AC44" s="370">
        <f t="shared" si="37"/>
        <v>64272</v>
      </c>
      <c r="AD44" s="82">
        <f t="shared" si="38"/>
        <v>133366</v>
      </c>
    </row>
    <row r="45" spans="1:30" ht="18" customHeight="1">
      <c r="A45" s="604" t="s">
        <v>1745</v>
      </c>
      <c r="B45" s="395">
        <v>53204</v>
      </c>
      <c r="C45" s="370">
        <v>50463</v>
      </c>
      <c r="D45" s="374">
        <f t="shared" si="30"/>
        <v>103667</v>
      </c>
      <c r="E45" s="370">
        <v>31388</v>
      </c>
      <c r="F45" s="370">
        <v>29965</v>
      </c>
      <c r="G45" s="370">
        <f t="shared" si="31"/>
        <v>61353</v>
      </c>
      <c r="H45" s="261">
        <v>54</v>
      </c>
      <c r="I45" s="39">
        <v>18</v>
      </c>
      <c r="J45" s="82">
        <f t="shared" si="32"/>
        <v>72</v>
      </c>
      <c r="K45" s="39">
        <v>11</v>
      </c>
      <c r="L45" s="39">
        <v>7</v>
      </c>
      <c r="M45" s="82">
        <f t="shared" si="33"/>
        <v>18</v>
      </c>
      <c r="O45" s="604" t="s">
        <v>1745</v>
      </c>
      <c r="P45" s="261">
        <v>1</v>
      </c>
      <c r="Q45" s="39">
        <v>3</v>
      </c>
      <c r="R45" s="82">
        <f t="shared" si="34"/>
        <v>4</v>
      </c>
      <c r="S45" s="39">
        <v>1</v>
      </c>
      <c r="T45" s="756" t="s">
        <v>1229</v>
      </c>
      <c r="U45" s="39">
        <f>SUM(S45:T45)</f>
        <v>1</v>
      </c>
      <c r="V45" s="261">
        <v>13</v>
      </c>
      <c r="W45" s="39">
        <v>13</v>
      </c>
      <c r="X45" s="82">
        <f>SUM(V45:W45)</f>
        <v>26</v>
      </c>
      <c r="Y45" s="39">
        <v>50</v>
      </c>
      <c r="Z45" s="39">
        <v>42</v>
      </c>
      <c r="AA45" s="39">
        <f t="shared" si="35"/>
        <v>92</v>
      </c>
      <c r="AB45" s="395">
        <f t="shared" si="36"/>
        <v>84722</v>
      </c>
      <c r="AC45" s="370">
        <f t="shared" si="37"/>
        <v>80511</v>
      </c>
      <c r="AD45" s="82">
        <f t="shared" si="38"/>
        <v>165233</v>
      </c>
    </row>
    <row r="46" spans="1:30" ht="18" customHeight="1">
      <c r="A46" s="604" t="s">
        <v>1227</v>
      </c>
      <c r="B46" s="395">
        <v>54077</v>
      </c>
      <c r="C46" s="370">
        <v>49848</v>
      </c>
      <c r="D46" s="374">
        <f t="shared" si="30"/>
        <v>103925</v>
      </c>
      <c r="E46" s="370">
        <v>30773</v>
      </c>
      <c r="F46" s="370">
        <v>29878</v>
      </c>
      <c r="G46" s="370">
        <f t="shared" si="31"/>
        <v>60651</v>
      </c>
      <c r="H46" s="261">
        <v>4</v>
      </c>
      <c r="I46" s="39">
        <v>3</v>
      </c>
      <c r="J46" s="82">
        <f t="shared" si="32"/>
        <v>7</v>
      </c>
      <c r="K46" s="39">
        <v>8</v>
      </c>
      <c r="L46" s="39">
        <v>7</v>
      </c>
      <c r="M46" s="82">
        <f t="shared" si="33"/>
        <v>15</v>
      </c>
      <c r="O46" s="604" t="s">
        <v>1227</v>
      </c>
      <c r="P46" s="261">
        <v>2</v>
      </c>
      <c r="Q46" s="756" t="s">
        <v>1229</v>
      </c>
      <c r="R46" s="82">
        <f t="shared" si="34"/>
        <v>2</v>
      </c>
      <c r="S46" s="39">
        <v>4</v>
      </c>
      <c r="T46" s="39">
        <v>2</v>
      </c>
      <c r="U46" s="82">
        <f>SUM(S46:T46)</f>
        <v>6</v>
      </c>
      <c r="V46" s="756" t="s">
        <v>1229</v>
      </c>
      <c r="W46" s="756" t="s">
        <v>1229</v>
      </c>
      <c r="X46" s="1120" t="s">
        <v>1229</v>
      </c>
      <c r="Y46" s="39">
        <v>26</v>
      </c>
      <c r="Z46" s="39">
        <v>18</v>
      </c>
      <c r="AA46" s="39">
        <f t="shared" si="35"/>
        <v>44</v>
      </c>
      <c r="AB46" s="395">
        <f t="shared" si="36"/>
        <v>84894</v>
      </c>
      <c r="AC46" s="370">
        <f t="shared" si="37"/>
        <v>79756</v>
      </c>
      <c r="AD46" s="82">
        <f t="shared" si="38"/>
        <v>164650</v>
      </c>
    </row>
    <row r="47" spans="1:30" ht="18" customHeight="1">
      <c r="A47" s="604" t="s">
        <v>1228</v>
      </c>
      <c r="B47" s="395">
        <v>86226</v>
      </c>
      <c r="C47" s="370">
        <v>79130</v>
      </c>
      <c r="D47" s="374">
        <f t="shared" si="30"/>
        <v>165356</v>
      </c>
      <c r="E47" s="370">
        <v>14026</v>
      </c>
      <c r="F47" s="370">
        <v>13563</v>
      </c>
      <c r="G47" s="370">
        <f t="shared" si="31"/>
        <v>27589</v>
      </c>
      <c r="H47" s="261">
        <v>2713</v>
      </c>
      <c r="I47" s="39">
        <v>2512</v>
      </c>
      <c r="J47" s="82">
        <f t="shared" si="32"/>
        <v>5225</v>
      </c>
      <c r="K47" s="39">
        <v>4</v>
      </c>
      <c r="L47" s="39">
        <v>2</v>
      </c>
      <c r="M47" s="82">
        <f t="shared" si="33"/>
        <v>6</v>
      </c>
      <c r="O47" s="604" t="s">
        <v>1228</v>
      </c>
      <c r="P47" s="269" t="s">
        <v>1229</v>
      </c>
      <c r="Q47" s="39">
        <v>1</v>
      </c>
      <c r="R47" s="82">
        <f t="shared" si="34"/>
        <v>1</v>
      </c>
      <c r="S47" s="756" t="s">
        <v>1229</v>
      </c>
      <c r="T47" s="756" t="s">
        <v>1229</v>
      </c>
      <c r="U47" s="1120" t="s">
        <v>1229</v>
      </c>
      <c r="V47" s="756" t="s">
        <v>1229</v>
      </c>
      <c r="W47" s="756" t="s">
        <v>1229</v>
      </c>
      <c r="X47" s="1120" t="s">
        <v>1229</v>
      </c>
      <c r="Y47" s="39">
        <v>62</v>
      </c>
      <c r="Z47" s="39">
        <v>42</v>
      </c>
      <c r="AA47" s="39">
        <f t="shared" si="35"/>
        <v>104</v>
      </c>
      <c r="AB47" s="395">
        <f t="shared" si="36"/>
        <v>103031</v>
      </c>
      <c r="AC47" s="370">
        <f t="shared" si="37"/>
        <v>95250</v>
      </c>
      <c r="AD47" s="82">
        <f t="shared" si="38"/>
        <v>198281</v>
      </c>
    </row>
    <row r="48" spans="1:30" ht="18" customHeight="1">
      <c r="A48" s="604" t="s">
        <v>863</v>
      </c>
      <c r="B48" s="395">
        <v>16845</v>
      </c>
      <c r="C48" s="370">
        <v>15820</v>
      </c>
      <c r="D48" s="374">
        <f t="shared" si="30"/>
        <v>32665</v>
      </c>
      <c r="E48" s="370">
        <v>2319</v>
      </c>
      <c r="F48" s="370">
        <v>2170</v>
      </c>
      <c r="G48" s="370">
        <f t="shared" si="31"/>
        <v>4489</v>
      </c>
      <c r="H48" s="261">
        <v>9</v>
      </c>
      <c r="I48" s="39">
        <v>11</v>
      </c>
      <c r="J48" s="82">
        <f t="shared" si="32"/>
        <v>20</v>
      </c>
      <c r="K48" s="39">
        <v>25</v>
      </c>
      <c r="L48" s="39">
        <v>18</v>
      </c>
      <c r="M48" s="82">
        <f t="shared" si="33"/>
        <v>43</v>
      </c>
      <c r="O48" s="604" t="s">
        <v>863</v>
      </c>
      <c r="P48" s="261">
        <v>2</v>
      </c>
      <c r="Q48" s="39">
        <v>1</v>
      </c>
      <c r="R48" s="82">
        <f t="shared" si="34"/>
        <v>3</v>
      </c>
      <c r="S48" s="756" t="s">
        <v>1229</v>
      </c>
      <c r="T48" s="756" t="s">
        <v>1229</v>
      </c>
      <c r="U48" s="1120" t="s">
        <v>1229</v>
      </c>
      <c r="V48" s="261">
        <v>7</v>
      </c>
      <c r="W48" s="39">
        <v>5</v>
      </c>
      <c r="X48" s="82">
        <f>SUM(V48:W48)</f>
        <v>12</v>
      </c>
      <c r="Y48" s="39">
        <v>2</v>
      </c>
      <c r="Z48" s="756" t="s">
        <v>1229</v>
      </c>
      <c r="AA48" s="39">
        <f t="shared" si="35"/>
        <v>2</v>
      </c>
      <c r="AB48" s="395">
        <f t="shared" si="36"/>
        <v>19209</v>
      </c>
      <c r="AC48" s="370">
        <f t="shared" si="37"/>
        <v>18025</v>
      </c>
      <c r="AD48" s="82">
        <f t="shared" si="38"/>
        <v>37234</v>
      </c>
    </row>
    <row r="49" spans="1:30" ht="18" customHeight="1">
      <c r="A49" s="402" t="s">
        <v>317</v>
      </c>
      <c r="B49" s="268">
        <f t="shared" ref="B49:M49" si="39">SUM(B50:B53)</f>
        <v>394689</v>
      </c>
      <c r="C49" s="343">
        <f t="shared" si="39"/>
        <v>373106</v>
      </c>
      <c r="D49" s="368">
        <f t="shared" si="39"/>
        <v>767795</v>
      </c>
      <c r="E49" s="343">
        <f t="shared" si="39"/>
        <v>52927</v>
      </c>
      <c r="F49" s="343">
        <f t="shared" si="39"/>
        <v>51931</v>
      </c>
      <c r="G49" s="343">
        <f t="shared" si="39"/>
        <v>104858</v>
      </c>
      <c r="H49" s="268">
        <f t="shared" si="39"/>
        <v>356</v>
      </c>
      <c r="I49" s="343">
        <f t="shared" si="39"/>
        <v>328</v>
      </c>
      <c r="J49" s="368">
        <f t="shared" si="39"/>
        <v>684</v>
      </c>
      <c r="K49" s="343">
        <f t="shared" si="39"/>
        <v>31</v>
      </c>
      <c r="L49" s="343">
        <f t="shared" si="39"/>
        <v>17</v>
      </c>
      <c r="M49" s="368">
        <f t="shared" si="39"/>
        <v>48</v>
      </c>
      <c r="O49" s="402" t="s">
        <v>317</v>
      </c>
      <c r="P49" s="268">
        <f t="shared" ref="P49:AD49" si="40">SUM(P50:P53)</f>
        <v>19</v>
      </c>
      <c r="Q49" s="343">
        <f t="shared" si="40"/>
        <v>17</v>
      </c>
      <c r="R49" s="368">
        <f t="shared" si="40"/>
        <v>36</v>
      </c>
      <c r="S49" s="343">
        <f t="shared" si="40"/>
        <v>1</v>
      </c>
      <c r="T49" s="343">
        <f t="shared" si="40"/>
        <v>2</v>
      </c>
      <c r="U49" s="343">
        <f t="shared" si="40"/>
        <v>3</v>
      </c>
      <c r="V49" s="268">
        <f t="shared" si="40"/>
        <v>23</v>
      </c>
      <c r="W49" s="343">
        <f t="shared" si="40"/>
        <v>28</v>
      </c>
      <c r="X49" s="368">
        <f t="shared" si="40"/>
        <v>51</v>
      </c>
      <c r="Y49" s="343">
        <f t="shared" si="40"/>
        <v>269</v>
      </c>
      <c r="Z49" s="343">
        <f t="shared" si="40"/>
        <v>247</v>
      </c>
      <c r="AA49" s="343">
        <f t="shared" si="40"/>
        <v>516</v>
      </c>
      <c r="AB49" s="268">
        <f t="shared" si="40"/>
        <v>448315</v>
      </c>
      <c r="AC49" s="343">
        <f t="shared" si="40"/>
        <v>425676</v>
      </c>
      <c r="AD49" s="368">
        <f t="shared" si="40"/>
        <v>873991</v>
      </c>
    </row>
    <row r="50" spans="1:30" ht="18" customHeight="1">
      <c r="A50" s="604" t="s">
        <v>1205</v>
      </c>
      <c r="B50" s="395">
        <v>104056</v>
      </c>
      <c r="C50" s="370">
        <v>97696</v>
      </c>
      <c r="D50" s="374">
        <f>SUM(B50:C50)</f>
        <v>201752</v>
      </c>
      <c r="E50" s="370">
        <v>18636</v>
      </c>
      <c r="F50" s="370">
        <v>18701</v>
      </c>
      <c r="G50" s="370">
        <f>SUM(E50:F50)</f>
        <v>37337</v>
      </c>
      <c r="H50" s="261">
        <v>55</v>
      </c>
      <c r="I50" s="39">
        <v>46</v>
      </c>
      <c r="J50" s="82">
        <f>SUM(H50:I50)</f>
        <v>101</v>
      </c>
      <c r="K50" s="39">
        <v>3</v>
      </c>
      <c r="L50" s="39">
        <v>4</v>
      </c>
      <c r="M50" s="82">
        <f>SUM(K50:L50)</f>
        <v>7</v>
      </c>
      <c r="O50" s="604" t="s">
        <v>1205</v>
      </c>
      <c r="P50" s="261">
        <v>1</v>
      </c>
      <c r="Q50" s="39">
        <v>2</v>
      </c>
      <c r="R50" s="82">
        <f>SUM(P50:Q50)</f>
        <v>3</v>
      </c>
      <c r="S50" s="756" t="s">
        <v>1229</v>
      </c>
      <c r="T50" s="756" t="s">
        <v>1229</v>
      </c>
      <c r="U50" s="1120" t="s">
        <v>1229</v>
      </c>
      <c r="V50" s="756" t="s">
        <v>1229</v>
      </c>
      <c r="W50" s="756" t="s">
        <v>1229</v>
      </c>
      <c r="X50" s="1120" t="s">
        <v>1229</v>
      </c>
      <c r="Y50" s="39">
        <v>64</v>
      </c>
      <c r="Z50" s="39">
        <v>62</v>
      </c>
      <c r="AA50" s="39">
        <f>SUM(Y50:Z50)</f>
        <v>126</v>
      </c>
      <c r="AB50" s="395">
        <f t="shared" ref="AB50:AC53" si="41">SUM(B50,E50,H50,K50,P50,S50,V50,Y50)</f>
        <v>122815</v>
      </c>
      <c r="AC50" s="370">
        <f t="shared" si="41"/>
        <v>116511</v>
      </c>
      <c r="AD50" s="82">
        <f>SUM(AB50:AC50)</f>
        <v>239326</v>
      </c>
    </row>
    <row r="51" spans="1:30" ht="18" customHeight="1">
      <c r="A51" s="604" t="s">
        <v>1206</v>
      </c>
      <c r="B51" s="395">
        <v>71847</v>
      </c>
      <c r="C51" s="370">
        <v>68267</v>
      </c>
      <c r="D51" s="374">
        <f>SUM(B51:C51)</f>
        <v>140114</v>
      </c>
      <c r="E51" s="370">
        <v>10403</v>
      </c>
      <c r="F51" s="370">
        <v>10010</v>
      </c>
      <c r="G51" s="370">
        <f>SUM(E51:F51)</f>
        <v>20413</v>
      </c>
      <c r="H51" s="261">
        <v>2</v>
      </c>
      <c r="I51" s="39">
        <v>1</v>
      </c>
      <c r="J51" s="82">
        <f>SUM(H51:I51)</f>
        <v>3</v>
      </c>
      <c r="K51" s="39">
        <v>4</v>
      </c>
      <c r="L51" s="39">
        <v>3</v>
      </c>
      <c r="M51" s="82">
        <f>SUM(K51:L51)</f>
        <v>7</v>
      </c>
      <c r="O51" s="391" t="s">
        <v>1206</v>
      </c>
      <c r="P51" s="756" t="s">
        <v>1229</v>
      </c>
      <c r="Q51" s="756" t="s">
        <v>1229</v>
      </c>
      <c r="R51" s="1120" t="s">
        <v>1229</v>
      </c>
      <c r="S51" s="756" t="s">
        <v>1229</v>
      </c>
      <c r="T51" s="756" t="s">
        <v>1229</v>
      </c>
      <c r="U51" s="1120" t="s">
        <v>1229</v>
      </c>
      <c r="V51" s="261">
        <v>1</v>
      </c>
      <c r="W51" s="39">
        <v>1</v>
      </c>
      <c r="X51" s="82">
        <f>SUM(V51:W51)</f>
        <v>2</v>
      </c>
      <c r="Y51" s="39">
        <v>44</v>
      </c>
      <c r="Z51" s="39">
        <v>44</v>
      </c>
      <c r="AA51" s="39">
        <f>SUM(Y51:Z51)</f>
        <v>88</v>
      </c>
      <c r="AB51" s="395">
        <f t="shared" si="41"/>
        <v>82301</v>
      </c>
      <c r="AC51" s="370">
        <f t="shared" si="41"/>
        <v>78326</v>
      </c>
      <c r="AD51" s="82">
        <f>SUM(AB51:AC51)</f>
        <v>160627</v>
      </c>
    </row>
    <row r="52" spans="1:30" ht="18" customHeight="1">
      <c r="A52" s="604" t="s">
        <v>1207</v>
      </c>
      <c r="B52" s="395">
        <v>85155</v>
      </c>
      <c r="C52" s="370">
        <v>79990</v>
      </c>
      <c r="D52" s="374">
        <f>SUM(B52:C52)</f>
        <v>165145</v>
      </c>
      <c r="E52" s="370">
        <v>10263</v>
      </c>
      <c r="F52" s="370">
        <v>9992</v>
      </c>
      <c r="G52" s="370">
        <f>SUM(E52:F52)</f>
        <v>20255</v>
      </c>
      <c r="H52" s="261">
        <v>3</v>
      </c>
      <c r="I52" s="39">
        <v>6</v>
      </c>
      <c r="J52" s="82">
        <f>SUM(H52:I52)</f>
        <v>9</v>
      </c>
      <c r="K52" s="39">
        <v>1</v>
      </c>
      <c r="L52" s="756" t="s">
        <v>1229</v>
      </c>
      <c r="M52" s="82">
        <f>SUM(K52:L52)</f>
        <v>1</v>
      </c>
      <c r="O52" s="604" t="s">
        <v>1207</v>
      </c>
      <c r="P52" s="261">
        <v>11</v>
      </c>
      <c r="Q52" s="39">
        <v>6</v>
      </c>
      <c r="R52" s="82">
        <f>SUM(P52:Q52)</f>
        <v>17</v>
      </c>
      <c r="S52" s="756" t="s">
        <v>1229</v>
      </c>
      <c r="T52" s="39">
        <v>1</v>
      </c>
      <c r="U52" s="39">
        <f>SUM(S52:T52)</f>
        <v>1</v>
      </c>
      <c r="V52" s="261">
        <v>11</v>
      </c>
      <c r="W52" s="39">
        <v>7</v>
      </c>
      <c r="X52" s="82">
        <f>SUM(V52:W52)</f>
        <v>18</v>
      </c>
      <c r="Y52" s="39">
        <v>103</v>
      </c>
      <c r="Z52" s="39">
        <v>95</v>
      </c>
      <c r="AA52" s="39">
        <f>SUM(Y52:Z52)</f>
        <v>198</v>
      </c>
      <c r="AB52" s="395">
        <f t="shared" si="41"/>
        <v>95547</v>
      </c>
      <c r="AC52" s="370">
        <f t="shared" si="41"/>
        <v>90097</v>
      </c>
      <c r="AD52" s="82">
        <f>SUM(AB52:AC52)</f>
        <v>185644</v>
      </c>
    </row>
    <row r="53" spans="1:30" ht="18" customHeight="1">
      <c r="A53" s="729" t="s">
        <v>1208</v>
      </c>
      <c r="B53" s="640">
        <v>133631</v>
      </c>
      <c r="C53" s="379">
        <v>127153</v>
      </c>
      <c r="D53" s="444">
        <f>SUM(B53:C53)</f>
        <v>260784</v>
      </c>
      <c r="E53" s="379">
        <v>13625</v>
      </c>
      <c r="F53" s="379">
        <v>13228</v>
      </c>
      <c r="G53" s="379">
        <f>SUM(E53:F53)</f>
        <v>26853</v>
      </c>
      <c r="H53" s="74">
        <v>296</v>
      </c>
      <c r="I53" s="25">
        <v>275</v>
      </c>
      <c r="J53" s="75">
        <f>SUM(H53:I53)</f>
        <v>571</v>
      </c>
      <c r="K53" s="25">
        <v>23</v>
      </c>
      <c r="L53" s="25">
        <v>10</v>
      </c>
      <c r="M53" s="75">
        <f>SUM(K53:L53)</f>
        <v>33</v>
      </c>
      <c r="O53" s="729" t="s">
        <v>1208</v>
      </c>
      <c r="P53" s="74">
        <v>7</v>
      </c>
      <c r="Q53" s="25">
        <v>9</v>
      </c>
      <c r="R53" s="75">
        <f>SUM(P53:Q53)</f>
        <v>16</v>
      </c>
      <c r="S53" s="25">
        <v>1</v>
      </c>
      <c r="T53" s="25">
        <v>1</v>
      </c>
      <c r="U53" s="25">
        <f>SUM(S53:T53)</f>
        <v>2</v>
      </c>
      <c r="V53" s="74">
        <v>11</v>
      </c>
      <c r="W53" s="25">
        <v>20</v>
      </c>
      <c r="X53" s="75">
        <f>SUM(V53:W53)</f>
        <v>31</v>
      </c>
      <c r="Y53" s="25">
        <v>58</v>
      </c>
      <c r="Z53" s="25">
        <v>46</v>
      </c>
      <c r="AA53" s="25">
        <f>SUM(Y53:Z53)</f>
        <v>104</v>
      </c>
      <c r="AB53" s="640">
        <f t="shared" si="41"/>
        <v>147652</v>
      </c>
      <c r="AC53" s="379">
        <f t="shared" si="41"/>
        <v>140742</v>
      </c>
      <c r="AD53" s="75">
        <f>SUM(AB53:AC53)</f>
        <v>288394</v>
      </c>
    </row>
    <row r="54" spans="1:30" ht="16.5" customHeight="1">
      <c r="A54" s="718" t="s">
        <v>1404</v>
      </c>
      <c r="B54" s="718">
        <f t="shared" ref="B54:M54" si="42">SUM(B49,B38,B33,B16,B7)</f>
        <v>2354354</v>
      </c>
      <c r="C54" s="290">
        <f t="shared" si="42"/>
        <v>2194105</v>
      </c>
      <c r="D54" s="799">
        <f t="shared" si="42"/>
        <v>4548459</v>
      </c>
      <c r="E54" s="290">
        <f t="shared" si="42"/>
        <v>1178820</v>
      </c>
      <c r="F54" s="290">
        <f t="shared" si="42"/>
        <v>1117147</v>
      </c>
      <c r="G54" s="290">
        <f t="shared" si="42"/>
        <v>2295967</v>
      </c>
      <c r="H54" s="796">
        <f t="shared" si="42"/>
        <v>26765</v>
      </c>
      <c r="I54" s="797">
        <f t="shared" si="42"/>
        <v>26070</v>
      </c>
      <c r="J54" s="798">
        <f t="shared" si="42"/>
        <v>52835</v>
      </c>
      <c r="K54" s="797">
        <f t="shared" si="42"/>
        <v>979</v>
      </c>
      <c r="L54" s="797">
        <f t="shared" si="42"/>
        <v>701</v>
      </c>
      <c r="M54" s="900">
        <f t="shared" si="42"/>
        <v>1680</v>
      </c>
      <c r="N54" s="335"/>
      <c r="O54" s="718" t="s">
        <v>1404</v>
      </c>
      <c r="P54" s="796">
        <f t="shared" ref="P54:AD54" si="43">SUM(P49,P38,P33,P16,P7)</f>
        <v>948</v>
      </c>
      <c r="Q54" s="797">
        <f t="shared" si="43"/>
        <v>851</v>
      </c>
      <c r="R54" s="798">
        <f t="shared" si="43"/>
        <v>1799</v>
      </c>
      <c r="S54" s="797">
        <f t="shared" si="43"/>
        <v>130</v>
      </c>
      <c r="T54" s="797">
        <f t="shared" si="43"/>
        <v>83</v>
      </c>
      <c r="U54" s="797">
        <f t="shared" si="43"/>
        <v>213</v>
      </c>
      <c r="V54" s="796">
        <f t="shared" si="43"/>
        <v>605</v>
      </c>
      <c r="W54" s="797">
        <f t="shared" si="43"/>
        <v>537</v>
      </c>
      <c r="X54" s="798">
        <f t="shared" si="43"/>
        <v>1142</v>
      </c>
      <c r="Y54" s="797">
        <f t="shared" si="43"/>
        <v>2392</v>
      </c>
      <c r="Z54" s="797">
        <f t="shared" si="43"/>
        <v>2202</v>
      </c>
      <c r="AA54" s="797">
        <f t="shared" si="43"/>
        <v>4594</v>
      </c>
      <c r="AB54" s="796">
        <f t="shared" si="43"/>
        <v>3564993</v>
      </c>
      <c r="AC54" s="797">
        <f t="shared" si="43"/>
        <v>3341696</v>
      </c>
      <c r="AD54" s="798">
        <f t="shared" si="43"/>
        <v>6906689</v>
      </c>
    </row>
    <row r="55" spans="1:30">
      <c r="M55" s="1212" t="s">
        <v>678</v>
      </c>
      <c r="AD55" s="1212" t="s">
        <v>1115</v>
      </c>
    </row>
  </sheetData>
  <mergeCells count="27">
    <mergeCell ref="A1:M1"/>
    <mergeCell ref="A2:M2"/>
    <mergeCell ref="O1:AD1"/>
    <mergeCell ref="A28:M28"/>
    <mergeCell ref="O28:AD28"/>
    <mergeCell ref="Y4:AA4"/>
    <mergeCell ref="AB4:AD4"/>
    <mergeCell ref="A4:A5"/>
    <mergeCell ref="B4:D4"/>
    <mergeCell ref="E4:G4"/>
    <mergeCell ref="H4:J4"/>
    <mergeCell ref="V4:X4"/>
    <mergeCell ref="K4:M4"/>
    <mergeCell ref="P4:R4"/>
    <mergeCell ref="O4:O5"/>
    <mergeCell ref="S4:U4"/>
    <mergeCell ref="Y30:AA30"/>
    <mergeCell ref="AB30:AD30"/>
    <mergeCell ref="P30:R30"/>
    <mergeCell ref="A30:A31"/>
    <mergeCell ref="B30:D30"/>
    <mergeCell ref="E30:G30"/>
    <mergeCell ref="H30:J30"/>
    <mergeCell ref="K30:M30"/>
    <mergeCell ref="O30:O31"/>
    <mergeCell ref="S30:U30"/>
    <mergeCell ref="V30:X30"/>
  </mergeCells>
  <phoneticPr fontId="0" type="noConversion"/>
  <printOptions horizontalCentered="1"/>
  <pageMargins left="0.2" right="0.2" top="0.87" bottom="0.5" header="0.5" footer="0.5"/>
  <pageSetup paperSize="9" orientation="landscape" blackAndWhite="1" r:id="rId1"/>
  <headerFooter alignWithMargins="0"/>
  <rowBreaks count="1" manualBreakCount="1">
    <brk id="27" max="16383" man="1"/>
  </rowBreaks>
  <colBreaks count="1" manualBreakCount="1">
    <brk id="13" max="1048575" man="1"/>
  </colBreaks>
</worksheet>
</file>

<file path=xl/worksheets/sheet22.xml><?xml version="1.0" encoding="utf-8"?>
<worksheet xmlns="http://schemas.openxmlformats.org/spreadsheetml/2006/main" xmlns:r="http://schemas.openxmlformats.org/officeDocument/2006/relationships">
  <dimension ref="A1:J16"/>
  <sheetViews>
    <sheetView workbookViewId="0">
      <selection activeCell="J11" sqref="J11"/>
    </sheetView>
  </sheetViews>
  <sheetFormatPr defaultRowHeight="12.75"/>
  <cols>
    <col min="1" max="1" width="16.7109375" customWidth="1"/>
    <col min="2" max="10" width="11.28515625" customWidth="1"/>
  </cols>
  <sheetData>
    <row r="1" spans="1:10" ht="19.5" customHeight="1">
      <c r="A1" s="1708" t="s">
        <v>567</v>
      </c>
      <c r="B1" s="1708"/>
      <c r="C1" s="1708"/>
      <c r="D1" s="1708"/>
      <c r="E1" s="1708"/>
      <c r="F1" s="1708"/>
      <c r="G1" s="1708"/>
      <c r="H1" s="1708"/>
      <c r="I1" s="1708"/>
      <c r="J1" s="1708"/>
    </row>
    <row r="2" spans="1:10" ht="21" customHeight="1">
      <c r="A2" s="1796" t="str">
        <f>CONCATENATE("Disabled Persons by type of disability and by sex in the district of ",District!$A$1,", 2011")</f>
        <v>Disabled Persons by type of disability and by sex in the district of South 24-Parganas, 2011</v>
      </c>
      <c r="B2" s="1796"/>
      <c r="C2" s="1796"/>
      <c r="D2" s="1796"/>
      <c r="E2" s="1796"/>
      <c r="F2" s="1796"/>
      <c r="G2" s="1796"/>
      <c r="H2" s="1796"/>
      <c r="I2" s="1796"/>
      <c r="J2" s="1796"/>
    </row>
    <row r="3" spans="1:10" ht="15.75" customHeight="1">
      <c r="B3" s="3"/>
      <c r="C3" s="3"/>
      <c r="D3" s="3"/>
      <c r="E3" s="3"/>
      <c r="F3" s="3"/>
      <c r="G3" s="3"/>
      <c r="H3" s="3"/>
      <c r="I3" s="3"/>
      <c r="J3" s="95" t="s">
        <v>977</v>
      </c>
    </row>
    <row r="4" spans="1:10" ht="21" customHeight="1">
      <c r="A4" s="1825" t="s">
        <v>1121</v>
      </c>
      <c r="B4" s="1780" t="s">
        <v>1006</v>
      </c>
      <c r="C4" s="1780"/>
      <c r="D4" s="1779"/>
      <c r="E4" s="1827" t="s">
        <v>1005</v>
      </c>
      <c r="F4" s="1810"/>
      <c r="G4" s="1811"/>
      <c r="H4" s="1775" t="s">
        <v>958</v>
      </c>
      <c r="I4" s="1775"/>
      <c r="J4" s="1774"/>
    </row>
    <row r="5" spans="1:10" ht="21" customHeight="1">
      <c r="A5" s="1826"/>
      <c r="B5" s="336" t="s">
        <v>1003</v>
      </c>
      <c r="C5" s="336" t="s">
        <v>1004</v>
      </c>
      <c r="D5" s="338" t="s">
        <v>958</v>
      </c>
      <c r="E5" s="448" t="s">
        <v>1003</v>
      </c>
      <c r="F5" s="336" t="s">
        <v>1004</v>
      </c>
      <c r="G5" s="338" t="s">
        <v>958</v>
      </c>
      <c r="H5" s="336" t="s">
        <v>1003</v>
      </c>
      <c r="I5" s="336" t="s">
        <v>1004</v>
      </c>
      <c r="J5" s="338" t="s">
        <v>958</v>
      </c>
    </row>
    <row r="6" spans="1:10" ht="21" customHeight="1">
      <c r="A6" s="194" t="s">
        <v>928</v>
      </c>
      <c r="B6" s="1408" t="s">
        <v>929</v>
      </c>
      <c r="C6" s="1408" t="s">
        <v>930</v>
      </c>
      <c r="D6" s="1407" t="s">
        <v>931</v>
      </c>
      <c r="E6" s="118" t="s">
        <v>932</v>
      </c>
      <c r="F6" s="119" t="s">
        <v>933</v>
      </c>
      <c r="G6" s="120" t="s">
        <v>934</v>
      </c>
      <c r="H6" s="119" t="s">
        <v>959</v>
      </c>
      <c r="I6" s="119" t="s">
        <v>960</v>
      </c>
      <c r="J6" s="120" t="s">
        <v>961</v>
      </c>
    </row>
    <row r="7" spans="1:10" ht="34.5" customHeight="1">
      <c r="A7" s="537" t="s">
        <v>943</v>
      </c>
      <c r="B7" s="1409">
        <v>22521</v>
      </c>
      <c r="C7" s="1410">
        <v>21131</v>
      </c>
      <c r="D7" s="305">
        <f t="shared" ref="D7:D14" si="0">B7+C7</f>
        <v>43652</v>
      </c>
      <c r="E7" s="1411">
        <v>8642</v>
      </c>
      <c r="F7" s="1411">
        <v>8320</v>
      </c>
      <c r="G7" s="39">
        <f t="shared" ref="G7:G14" si="1">E7+F7</f>
        <v>16962</v>
      </c>
      <c r="H7" s="661">
        <f t="shared" ref="H7:I14" si="2">B7+E7</f>
        <v>31163</v>
      </c>
      <c r="I7" s="308">
        <f t="shared" si="2"/>
        <v>29451</v>
      </c>
      <c r="J7" s="305">
        <f t="shared" ref="J7:J14" si="3">H7+I7</f>
        <v>60614</v>
      </c>
    </row>
    <row r="8" spans="1:10" ht="34.5" customHeight="1">
      <c r="A8" s="392" t="s">
        <v>944</v>
      </c>
      <c r="B8" s="1412">
        <v>5342</v>
      </c>
      <c r="C8" s="1411">
        <v>4100</v>
      </c>
      <c r="D8" s="82">
        <f t="shared" si="0"/>
        <v>9442</v>
      </c>
      <c r="E8" s="1411">
        <v>2215</v>
      </c>
      <c r="F8" s="1411">
        <v>1906</v>
      </c>
      <c r="G8" s="39">
        <f t="shared" si="1"/>
        <v>4121</v>
      </c>
      <c r="H8" s="261">
        <f t="shared" si="2"/>
        <v>7557</v>
      </c>
      <c r="I8" s="39">
        <f t="shared" si="2"/>
        <v>6006</v>
      </c>
      <c r="J8" s="82">
        <f t="shared" si="3"/>
        <v>13563</v>
      </c>
    </row>
    <row r="9" spans="1:10" ht="34.5" customHeight="1">
      <c r="A9" s="392" t="s">
        <v>945</v>
      </c>
      <c r="B9" s="1412">
        <v>12733</v>
      </c>
      <c r="C9" s="1411">
        <v>11485</v>
      </c>
      <c r="D9" s="82">
        <f t="shared" si="0"/>
        <v>24218</v>
      </c>
      <c r="E9" s="1411">
        <v>4465</v>
      </c>
      <c r="F9" s="1411">
        <v>4282</v>
      </c>
      <c r="G9" s="39">
        <f t="shared" si="1"/>
        <v>8747</v>
      </c>
      <c r="H9" s="261">
        <f t="shared" si="2"/>
        <v>17198</v>
      </c>
      <c r="I9" s="39">
        <f t="shared" si="2"/>
        <v>15767</v>
      </c>
      <c r="J9" s="82">
        <f t="shared" si="3"/>
        <v>32965</v>
      </c>
    </row>
    <row r="10" spans="1:10" ht="34.5" customHeight="1">
      <c r="A10" s="392" t="s">
        <v>946</v>
      </c>
      <c r="B10" s="1412">
        <v>14422</v>
      </c>
      <c r="C10" s="1411">
        <v>8141</v>
      </c>
      <c r="D10" s="82">
        <f t="shared" si="0"/>
        <v>22563</v>
      </c>
      <c r="E10" s="1411">
        <v>4239</v>
      </c>
      <c r="F10" s="1411">
        <v>2905</v>
      </c>
      <c r="G10" s="39">
        <f t="shared" si="1"/>
        <v>7144</v>
      </c>
      <c r="H10" s="261">
        <f t="shared" si="2"/>
        <v>18661</v>
      </c>
      <c r="I10" s="39">
        <f t="shared" si="2"/>
        <v>11046</v>
      </c>
      <c r="J10" s="82">
        <f t="shared" si="3"/>
        <v>29707</v>
      </c>
    </row>
    <row r="11" spans="1:10" ht="34.5" customHeight="1">
      <c r="A11" s="1406" t="s">
        <v>527</v>
      </c>
      <c r="B11" s="1412">
        <v>2707</v>
      </c>
      <c r="C11" s="1411">
        <v>2152</v>
      </c>
      <c r="D11" s="82">
        <f t="shared" si="0"/>
        <v>4859</v>
      </c>
      <c r="E11" s="1411">
        <v>954</v>
      </c>
      <c r="F11" s="1411">
        <v>711</v>
      </c>
      <c r="G11" s="39">
        <f t="shared" si="1"/>
        <v>1665</v>
      </c>
      <c r="H11" s="261">
        <f t="shared" si="2"/>
        <v>3661</v>
      </c>
      <c r="I11" s="39">
        <f t="shared" si="2"/>
        <v>2863</v>
      </c>
      <c r="J11" s="82">
        <f t="shared" si="3"/>
        <v>6524</v>
      </c>
    </row>
    <row r="12" spans="1:10" ht="34.5" customHeight="1">
      <c r="A12" s="1406" t="s">
        <v>304</v>
      </c>
      <c r="B12" s="1412">
        <v>5997</v>
      </c>
      <c r="C12" s="1411">
        <v>4664</v>
      </c>
      <c r="D12" s="82">
        <f t="shared" si="0"/>
        <v>10661</v>
      </c>
      <c r="E12" s="1411">
        <v>1995</v>
      </c>
      <c r="F12" s="1411">
        <v>1554</v>
      </c>
      <c r="G12" s="39">
        <f t="shared" si="1"/>
        <v>3549</v>
      </c>
      <c r="H12" s="261">
        <f t="shared" si="2"/>
        <v>7992</v>
      </c>
      <c r="I12" s="39">
        <f t="shared" si="2"/>
        <v>6218</v>
      </c>
      <c r="J12" s="82">
        <f t="shared" si="3"/>
        <v>14210</v>
      </c>
    </row>
    <row r="13" spans="1:10" ht="34.5" customHeight="1">
      <c r="A13" s="1406" t="s">
        <v>528</v>
      </c>
      <c r="B13" s="1412">
        <v>20663</v>
      </c>
      <c r="C13" s="1411">
        <v>15763</v>
      </c>
      <c r="D13" s="82">
        <f t="shared" si="0"/>
        <v>36426</v>
      </c>
      <c r="E13" s="1411">
        <v>6914</v>
      </c>
      <c r="F13" s="1411">
        <v>5930</v>
      </c>
      <c r="G13" s="39">
        <f t="shared" si="1"/>
        <v>12844</v>
      </c>
      <c r="H13" s="261">
        <f t="shared" si="2"/>
        <v>27577</v>
      </c>
      <c r="I13" s="39">
        <f t="shared" si="2"/>
        <v>21693</v>
      </c>
      <c r="J13" s="82">
        <f t="shared" si="3"/>
        <v>49270</v>
      </c>
    </row>
    <row r="14" spans="1:10" ht="34.5" customHeight="1">
      <c r="A14" s="1406" t="s">
        <v>529</v>
      </c>
      <c r="B14" s="1413">
        <v>8169</v>
      </c>
      <c r="C14" s="1414">
        <v>7102</v>
      </c>
      <c r="D14" s="75">
        <f t="shared" si="0"/>
        <v>15271</v>
      </c>
      <c r="E14" s="1413">
        <v>2525</v>
      </c>
      <c r="F14" s="1414">
        <v>2480</v>
      </c>
      <c r="G14" s="75">
        <f t="shared" si="1"/>
        <v>5005</v>
      </c>
      <c r="H14" s="74">
        <f t="shared" si="2"/>
        <v>10694</v>
      </c>
      <c r="I14" s="25">
        <f t="shared" si="2"/>
        <v>9582</v>
      </c>
      <c r="J14" s="75">
        <f t="shared" si="3"/>
        <v>20276</v>
      </c>
    </row>
    <row r="15" spans="1:10" ht="30.75" customHeight="1">
      <c r="A15" s="653" t="s">
        <v>1404</v>
      </c>
      <c r="B15" s="1234">
        <f t="shared" ref="B15:J15" si="4">SUM(B7:B14)</f>
        <v>92554</v>
      </c>
      <c r="C15" s="1234">
        <f t="shared" si="4"/>
        <v>74538</v>
      </c>
      <c r="D15" s="463">
        <f t="shared" si="4"/>
        <v>167092</v>
      </c>
      <c r="E15" s="1234">
        <f t="shared" si="4"/>
        <v>31949</v>
      </c>
      <c r="F15" s="1234">
        <f t="shared" si="4"/>
        <v>28088</v>
      </c>
      <c r="G15" s="463">
        <f t="shared" si="4"/>
        <v>60037</v>
      </c>
      <c r="H15" s="1234">
        <f t="shared" si="4"/>
        <v>124503</v>
      </c>
      <c r="I15" s="1234">
        <f t="shared" si="4"/>
        <v>102626</v>
      </c>
      <c r="J15" s="463">
        <f t="shared" si="4"/>
        <v>227129</v>
      </c>
    </row>
    <row r="16" spans="1:10">
      <c r="A16" s="16"/>
      <c r="G16" s="1812" t="s">
        <v>1186</v>
      </c>
      <c r="H16" s="1812"/>
      <c r="I16" s="1812"/>
      <c r="J16" s="1812"/>
    </row>
  </sheetData>
  <mergeCells count="7">
    <mergeCell ref="A1:J1"/>
    <mergeCell ref="G16:J16"/>
    <mergeCell ref="A2:J2"/>
    <mergeCell ref="A4:A5"/>
    <mergeCell ref="B4:D4"/>
    <mergeCell ref="E4:G4"/>
    <mergeCell ref="H4:J4"/>
  </mergeCells>
  <phoneticPr fontId="0" type="noConversion"/>
  <printOptions horizontalCentered="1"/>
  <pageMargins left="0.1" right="0.1" top="1.06" bottom="1" header="0.5" footer="0.5"/>
  <pageSetup paperSize="9" orientation="landscape" blackAndWhite="1" r:id="rId1"/>
  <headerFooter alignWithMargins="0"/>
</worksheet>
</file>

<file path=xl/worksheets/sheet23.xml><?xml version="1.0" encoding="utf-8"?>
<worksheet xmlns="http://schemas.openxmlformats.org/spreadsheetml/2006/main" xmlns:r="http://schemas.openxmlformats.org/officeDocument/2006/relationships">
  <sheetPr codeName="Sheet45"/>
  <dimension ref="A1:V66"/>
  <sheetViews>
    <sheetView topLeftCell="A49" workbookViewId="0">
      <selection activeCell="J11" sqref="J11"/>
    </sheetView>
  </sheetViews>
  <sheetFormatPr defaultRowHeight="12.75"/>
  <cols>
    <col min="1" max="1" width="18.42578125" style="50" customWidth="1"/>
    <col min="2" max="2" width="8.5703125" style="50" customWidth="1"/>
    <col min="3" max="3" width="8.42578125" style="50" customWidth="1"/>
    <col min="4" max="4" width="8.85546875" style="50" customWidth="1"/>
    <col min="5" max="5" width="8.7109375" style="50" customWidth="1"/>
    <col min="6" max="6" width="14.28515625" style="50" customWidth="1"/>
    <col min="7" max="7" width="7.7109375" style="50" customWidth="1"/>
    <col min="8" max="8" width="12.28515625" style="50" customWidth="1"/>
    <col min="9" max="9" width="11.5703125" style="50" customWidth="1"/>
    <col min="10" max="10" width="8" style="50" customWidth="1"/>
    <col min="11" max="11" width="9.5703125" style="50" customWidth="1"/>
    <col min="12" max="12" width="10.85546875" style="50" customWidth="1"/>
    <col min="13" max="16384" width="9.140625" style="50"/>
  </cols>
  <sheetData>
    <row r="1" spans="1:14" s="556" customFormat="1" ht="14.25" customHeight="1">
      <c r="A1" s="1842" t="s">
        <v>1725</v>
      </c>
      <c r="B1" s="1842"/>
      <c r="C1" s="1842"/>
      <c r="D1" s="1842"/>
      <c r="E1" s="1842"/>
      <c r="F1" s="1842"/>
      <c r="G1" s="1842"/>
      <c r="H1" s="1842"/>
      <c r="I1" s="1842"/>
      <c r="J1" s="1842"/>
      <c r="K1" s="1842"/>
      <c r="L1" s="1842"/>
    </row>
    <row r="2" spans="1:14" ht="13.5" customHeight="1">
      <c r="A2" s="1846" t="str">
        <f>CONCATENATE("Medical Facilities available in the district of South 24-Parganas")</f>
        <v>Medical Facilities available in the district of South 24-Parganas</v>
      </c>
      <c r="B2" s="1846"/>
      <c r="C2" s="1846"/>
      <c r="D2" s="1846"/>
      <c r="E2" s="1846"/>
      <c r="F2" s="1846"/>
      <c r="G2" s="1846"/>
      <c r="H2" s="1846"/>
      <c r="I2" s="1846"/>
      <c r="J2" s="1846"/>
      <c r="K2" s="1846"/>
      <c r="L2" s="1846"/>
    </row>
    <row r="3" spans="1:14" ht="12" customHeight="1">
      <c r="B3" s="51"/>
      <c r="C3" s="51"/>
      <c r="D3" s="51"/>
      <c r="E3" s="51"/>
      <c r="F3" s="51"/>
      <c r="G3" s="51"/>
      <c r="H3" s="51"/>
      <c r="I3" s="51"/>
      <c r="J3" s="51"/>
      <c r="K3" s="51"/>
      <c r="L3" s="100" t="s">
        <v>977</v>
      </c>
    </row>
    <row r="4" spans="1:14" ht="13.5" customHeight="1">
      <c r="A4" s="1831" t="s">
        <v>671</v>
      </c>
      <c r="B4" s="1828" t="s">
        <v>597</v>
      </c>
      <c r="C4" s="1829"/>
      <c r="D4" s="1829"/>
      <c r="E4" s="1829"/>
      <c r="F4" s="1829"/>
      <c r="G4" s="1829"/>
      <c r="H4" s="1829"/>
      <c r="I4" s="1829"/>
      <c r="J4" s="1830"/>
      <c r="K4" s="1834" t="s">
        <v>1456</v>
      </c>
      <c r="L4" s="1831" t="s">
        <v>805</v>
      </c>
    </row>
    <row r="5" spans="1:14" ht="24.75" customHeight="1">
      <c r="A5" s="1832"/>
      <c r="B5" s="1828" t="s">
        <v>1455</v>
      </c>
      <c r="C5" s="1829"/>
      <c r="D5" s="1829"/>
      <c r="E5" s="1830"/>
      <c r="F5" s="1831" t="s">
        <v>79</v>
      </c>
      <c r="G5" s="1831" t="s">
        <v>599</v>
      </c>
      <c r="H5" s="1831" t="s">
        <v>490</v>
      </c>
      <c r="I5" s="1831" t="s">
        <v>600</v>
      </c>
      <c r="J5" s="1831" t="s">
        <v>958</v>
      </c>
      <c r="K5" s="1847"/>
      <c r="L5" s="1832"/>
    </row>
    <row r="6" spans="1:14" ht="54.75" customHeight="1">
      <c r="A6" s="1833"/>
      <c r="B6" s="913" t="s">
        <v>607</v>
      </c>
      <c r="C6" s="908" t="s">
        <v>601</v>
      </c>
      <c r="D6" s="914" t="s">
        <v>602</v>
      </c>
      <c r="E6" s="908" t="s">
        <v>603</v>
      </c>
      <c r="F6" s="1849"/>
      <c r="G6" s="1849"/>
      <c r="H6" s="1849"/>
      <c r="I6" s="1849"/>
      <c r="J6" s="1849"/>
      <c r="K6" s="1848"/>
      <c r="L6" s="1833"/>
    </row>
    <row r="7" spans="1:14" ht="12" customHeight="1">
      <c r="A7" s="683" t="s">
        <v>928</v>
      </c>
      <c r="B7" s="689" t="s">
        <v>929</v>
      </c>
      <c r="C7" s="683" t="s">
        <v>930</v>
      </c>
      <c r="D7" s="684" t="s">
        <v>931</v>
      </c>
      <c r="E7" s="683" t="s">
        <v>932</v>
      </c>
      <c r="F7" s="684" t="s">
        <v>933</v>
      </c>
      <c r="G7" s="683" t="s">
        <v>934</v>
      </c>
      <c r="H7" s="684" t="s">
        <v>959</v>
      </c>
      <c r="I7" s="683" t="s">
        <v>960</v>
      </c>
      <c r="J7" s="690" t="s">
        <v>961</v>
      </c>
      <c r="K7" s="684" t="s">
        <v>962</v>
      </c>
      <c r="L7" s="683" t="s">
        <v>1037</v>
      </c>
    </row>
    <row r="8" spans="1:14" ht="12.75" customHeight="1">
      <c r="A8" s="749">
        <v>2010</v>
      </c>
      <c r="B8" s="63">
        <v>9</v>
      </c>
      <c r="C8" s="64">
        <v>9</v>
      </c>
      <c r="D8" s="54">
        <v>18</v>
      </c>
      <c r="E8" s="64">
        <v>63</v>
      </c>
      <c r="F8" s="54">
        <v>1</v>
      </c>
      <c r="G8" s="64">
        <v>5</v>
      </c>
      <c r="H8" s="54">
        <v>1</v>
      </c>
      <c r="I8" s="64">
        <v>188</v>
      </c>
      <c r="J8" s="393">
        <v>294</v>
      </c>
      <c r="K8" s="79" t="s">
        <v>1840</v>
      </c>
      <c r="L8" s="85">
        <v>824</v>
      </c>
    </row>
    <row r="9" spans="1:14" ht="12.75" customHeight="1">
      <c r="A9" s="691">
        <v>2011</v>
      </c>
      <c r="B9" s="85">
        <v>9</v>
      </c>
      <c r="C9" s="85">
        <v>9</v>
      </c>
      <c r="D9" s="85">
        <v>18</v>
      </c>
      <c r="E9" s="85">
        <v>63</v>
      </c>
      <c r="F9" s="85">
        <v>1</v>
      </c>
      <c r="G9" s="85">
        <v>5</v>
      </c>
      <c r="H9" s="85">
        <v>1</v>
      </c>
      <c r="I9" s="79">
        <v>188</v>
      </c>
      <c r="J9" s="393">
        <v>294</v>
      </c>
      <c r="K9" s="79" t="s">
        <v>679</v>
      </c>
      <c r="L9" s="85">
        <v>813</v>
      </c>
    </row>
    <row r="10" spans="1:14" ht="12.75" customHeight="1">
      <c r="A10" s="749">
        <v>2012</v>
      </c>
      <c r="B10" s="63">
        <v>9</v>
      </c>
      <c r="C10" s="64">
        <v>9</v>
      </c>
      <c r="D10" s="54">
        <v>18</v>
      </c>
      <c r="E10" s="64">
        <v>63</v>
      </c>
      <c r="F10" s="54">
        <v>1</v>
      </c>
      <c r="G10" s="64">
        <v>5</v>
      </c>
      <c r="H10" s="54">
        <v>1</v>
      </c>
      <c r="I10" s="64">
        <v>188</v>
      </c>
      <c r="J10" s="393">
        <v>294</v>
      </c>
      <c r="K10" s="79" t="s">
        <v>622</v>
      </c>
      <c r="L10" s="85">
        <v>890</v>
      </c>
    </row>
    <row r="11" spans="1:14" ht="12.75" customHeight="1">
      <c r="A11" s="749">
        <v>2013</v>
      </c>
      <c r="B11" s="64">
        <v>9</v>
      </c>
      <c r="C11" s="64">
        <v>9</v>
      </c>
      <c r="D11" s="64">
        <v>18</v>
      </c>
      <c r="E11" s="64">
        <v>63</v>
      </c>
      <c r="F11" s="64">
        <v>1</v>
      </c>
      <c r="G11" s="64">
        <v>5</v>
      </c>
      <c r="H11" s="64">
        <v>1</v>
      </c>
      <c r="I11" s="61">
        <v>210</v>
      </c>
      <c r="J11" s="393" t="s">
        <v>1412</v>
      </c>
      <c r="K11" s="318" t="s">
        <v>1413</v>
      </c>
      <c r="L11" s="85" t="s">
        <v>1411</v>
      </c>
    </row>
    <row r="12" spans="1:14" ht="12.75" customHeight="1">
      <c r="A12" s="65">
        <v>2014</v>
      </c>
      <c r="B12" s="750">
        <f t="shared" ref="B12:L12" si="0">SUM(B14,B15,B24,B42,B47,B58)</f>
        <v>9</v>
      </c>
      <c r="C12" s="751">
        <f t="shared" si="0"/>
        <v>21</v>
      </c>
      <c r="D12" s="752">
        <f t="shared" si="0"/>
        <v>9</v>
      </c>
      <c r="E12" s="752">
        <f t="shared" si="0"/>
        <v>61</v>
      </c>
      <c r="F12" s="750">
        <f t="shared" si="0"/>
        <v>1</v>
      </c>
      <c r="G12" s="750">
        <f t="shared" si="0"/>
        <v>5</v>
      </c>
      <c r="H12" s="750">
        <f t="shared" si="0"/>
        <v>1</v>
      </c>
      <c r="I12" s="750">
        <f t="shared" si="0"/>
        <v>217</v>
      </c>
      <c r="J12" s="750">
        <f t="shared" si="0"/>
        <v>324</v>
      </c>
      <c r="K12" s="750">
        <f t="shared" si="0"/>
        <v>5595</v>
      </c>
      <c r="L12" s="751">
        <f t="shared" si="0"/>
        <v>923</v>
      </c>
    </row>
    <row r="13" spans="1:14" ht="26.25" customHeight="1">
      <c r="A13" s="686" t="s">
        <v>717</v>
      </c>
      <c r="B13" s="1843" t="str">
        <f>"Year : " &amp; A12</f>
        <v>Year : 2014</v>
      </c>
      <c r="C13" s="1843"/>
      <c r="D13" s="1843"/>
      <c r="E13" s="1843"/>
      <c r="F13" s="1843"/>
      <c r="G13" s="1843"/>
      <c r="H13" s="1843"/>
      <c r="I13" s="1843"/>
      <c r="J13" s="1844"/>
      <c r="K13" s="1843"/>
      <c r="L13" s="1845"/>
    </row>
    <row r="14" spans="1:14" ht="12.75" customHeight="1">
      <c r="A14" s="245" t="s">
        <v>1734</v>
      </c>
      <c r="B14" s="413">
        <v>5</v>
      </c>
      <c r="C14" s="649" t="s">
        <v>1229</v>
      </c>
      <c r="D14" s="413" t="s">
        <v>1229</v>
      </c>
      <c r="E14" s="649">
        <v>2</v>
      </c>
      <c r="F14" s="649" t="s">
        <v>1229</v>
      </c>
      <c r="G14" s="649" t="s">
        <v>1229</v>
      </c>
      <c r="H14" s="1079">
        <v>1</v>
      </c>
      <c r="I14" s="713" t="s">
        <v>857</v>
      </c>
      <c r="J14" s="649">
        <v>8</v>
      </c>
      <c r="K14" s="649">
        <v>1505</v>
      </c>
      <c r="L14" s="649">
        <v>232</v>
      </c>
      <c r="M14" s="165"/>
      <c r="N14" s="165"/>
    </row>
    <row r="15" spans="1:14" ht="12.75" customHeight="1">
      <c r="A15" s="236" t="s">
        <v>756</v>
      </c>
      <c r="B15" s="303" t="str">
        <f>IF(SUM(B16:B23)=0,"-",SUM(B16:B23))</f>
        <v>-</v>
      </c>
      <c r="C15" s="303">
        <v>3</v>
      </c>
      <c r="D15" s="303">
        <v>3</v>
      </c>
      <c r="E15" s="303">
        <f t="shared" ref="E15:G15" si="1">IF(SUM(E16:E23)=0,"-",SUM(E16:E23))</f>
        <v>7</v>
      </c>
      <c r="F15" s="303">
        <f t="shared" si="1"/>
        <v>1</v>
      </c>
      <c r="G15" s="303">
        <f t="shared" si="1"/>
        <v>3</v>
      </c>
      <c r="H15" s="303" t="s">
        <v>1229</v>
      </c>
      <c r="I15" s="303">
        <v>48</v>
      </c>
      <c r="J15" s="303">
        <f>IF(SUM(J16:J23)=0,"-",SUM(J16:J23))</f>
        <v>65</v>
      </c>
      <c r="K15" s="303">
        <v>1159</v>
      </c>
      <c r="L15" s="303">
        <v>199</v>
      </c>
    </row>
    <row r="16" spans="1:14" ht="24.75" customHeight="1">
      <c r="A16" s="692" t="s">
        <v>890</v>
      </c>
      <c r="B16" s="372" t="s">
        <v>1229</v>
      </c>
      <c r="C16" s="393" t="s">
        <v>1229</v>
      </c>
      <c r="D16" s="712">
        <v>1</v>
      </c>
      <c r="E16" s="393" t="s">
        <v>1229</v>
      </c>
      <c r="F16" s="393" t="s">
        <v>1229</v>
      </c>
      <c r="G16" s="393" t="s">
        <v>1229</v>
      </c>
      <c r="H16" s="393" t="s">
        <v>1229</v>
      </c>
      <c r="I16" s="372">
        <v>7</v>
      </c>
      <c r="J16" s="393">
        <f t="shared" ref="J16:J23" si="2">SUM( B16,C16,D16,E16,F16,G16,H16,I16)</f>
        <v>8</v>
      </c>
      <c r="K16" s="393">
        <v>219</v>
      </c>
      <c r="L16" s="393">
        <v>32</v>
      </c>
    </row>
    <row r="17" spans="1:12" ht="12.75" customHeight="1">
      <c r="A17" s="234" t="s">
        <v>1214</v>
      </c>
      <c r="B17" s="372" t="s">
        <v>1229</v>
      </c>
      <c r="C17" s="393">
        <v>1</v>
      </c>
      <c r="D17" s="712">
        <v>1</v>
      </c>
      <c r="E17" s="711">
        <v>2</v>
      </c>
      <c r="F17" s="393" t="s">
        <v>1229</v>
      </c>
      <c r="G17" s="393" t="s">
        <v>1229</v>
      </c>
      <c r="H17" s="393" t="s">
        <v>1229</v>
      </c>
      <c r="I17" s="372">
        <v>6</v>
      </c>
      <c r="J17" s="393">
        <f t="shared" si="2"/>
        <v>10</v>
      </c>
      <c r="K17" s="393">
        <v>126</v>
      </c>
      <c r="L17" s="393">
        <v>21</v>
      </c>
    </row>
    <row r="18" spans="1:12" ht="12.75" customHeight="1">
      <c r="A18" s="234" t="s">
        <v>1211</v>
      </c>
      <c r="B18" s="372" t="s">
        <v>1229</v>
      </c>
      <c r="C18" s="393" t="s">
        <v>1229</v>
      </c>
      <c r="D18" s="712">
        <v>1</v>
      </c>
      <c r="E18" s="711">
        <v>1</v>
      </c>
      <c r="F18" s="393" t="s">
        <v>1229</v>
      </c>
      <c r="G18" s="393" t="s">
        <v>1229</v>
      </c>
      <c r="H18" s="393" t="s">
        <v>1229</v>
      </c>
      <c r="I18" s="372">
        <v>18</v>
      </c>
      <c r="J18" s="393">
        <f t="shared" si="2"/>
        <v>20</v>
      </c>
      <c r="K18" s="393">
        <v>215</v>
      </c>
      <c r="L18" s="393">
        <v>39</v>
      </c>
    </row>
    <row r="19" spans="1:12" ht="12.75" customHeight="1">
      <c r="A19" s="234" t="s">
        <v>1212</v>
      </c>
      <c r="B19" s="372" t="s">
        <v>1229</v>
      </c>
      <c r="C19" s="393">
        <v>1</v>
      </c>
      <c r="D19" s="372" t="s">
        <v>1229</v>
      </c>
      <c r="E19" s="711">
        <v>2</v>
      </c>
      <c r="F19" s="393" t="s">
        <v>1229</v>
      </c>
      <c r="G19" s="393" t="s">
        <v>1229</v>
      </c>
      <c r="H19" s="393" t="s">
        <v>1229</v>
      </c>
      <c r="I19" s="372">
        <v>3</v>
      </c>
      <c r="J19" s="393">
        <f t="shared" si="2"/>
        <v>6</v>
      </c>
      <c r="K19" s="393">
        <v>56</v>
      </c>
      <c r="L19" s="393">
        <v>7</v>
      </c>
    </row>
    <row r="20" spans="1:12" ht="12.75" customHeight="1">
      <c r="A20" s="234" t="s">
        <v>1213</v>
      </c>
      <c r="B20" s="372" t="s">
        <v>1229</v>
      </c>
      <c r="C20" s="711">
        <v>1</v>
      </c>
      <c r="D20" s="393" t="s">
        <v>1229</v>
      </c>
      <c r="E20" s="711">
        <v>2</v>
      </c>
      <c r="F20" s="393" t="s">
        <v>1229</v>
      </c>
      <c r="G20" s="393" t="s">
        <v>1229</v>
      </c>
      <c r="H20" s="393" t="s">
        <v>1229</v>
      </c>
      <c r="I20" s="372">
        <v>4</v>
      </c>
      <c r="J20" s="393">
        <f t="shared" si="2"/>
        <v>7</v>
      </c>
      <c r="K20" s="393">
        <v>61</v>
      </c>
      <c r="L20" s="393">
        <v>11</v>
      </c>
    </row>
    <row r="21" spans="1:12" ht="12.75" customHeight="1">
      <c r="A21" s="234" t="s">
        <v>1215</v>
      </c>
      <c r="B21" s="372" t="s">
        <v>1229</v>
      </c>
      <c r="C21" s="393" t="s">
        <v>1229</v>
      </c>
      <c r="D21" s="393" t="s">
        <v>1229</v>
      </c>
      <c r="E21" s="393" t="s">
        <v>1229</v>
      </c>
      <c r="F21" s="711">
        <v>1</v>
      </c>
      <c r="G21" s="711">
        <v>1</v>
      </c>
      <c r="H21" s="393" t="s">
        <v>1229</v>
      </c>
      <c r="I21" s="372">
        <v>4</v>
      </c>
      <c r="J21" s="393">
        <f t="shared" si="2"/>
        <v>6</v>
      </c>
      <c r="K21" s="393">
        <v>381</v>
      </c>
      <c r="L21" s="393">
        <v>52</v>
      </c>
    </row>
    <row r="22" spans="1:12" ht="12.75" customHeight="1">
      <c r="A22" s="234" t="s">
        <v>1216</v>
      </c>
      <c r="B22" s="372" t="s">
        <v>1229</v>
      </c>
      <c r="C22" s="393" t="s">
        <v>1229</v>
      </c>
      <c r="D22" s="393" t="s">
        <v>1229</v>
      </c>
      <c r="E22" s="393" t="s">
        <v>1229</v>
      </c>
      <c r="F22" s="393" t="s">
        <v>1229</v>
      </c>
      <c r="G22" s="711">
        <v>1</v>
      </c>
      <c r="H22" s="393" t="s">
        <v>1229</v>
      </c>
      <c r="I22" s="372">
        <v>6</v>
      </c>
      <c r="J22" s="393">
        <f t="shared" si="2"/>
        <v>7</v>
      </c>
      <c r="K22" s="393">
        <v>94</v>
      </c>
      <c r="L22" s="393">
        <v>32</v>
      </c>
    </row>
    <row r="23" spans="1:12" ht="12.75" customHeight="1">
      <c r="A23" s="234" t="s">
        <v>1217</v>
      </c>
      <c r="B23" s="372" t="s">
        <v>1229</v>
      </c>
      <c r="C23" s="393" t="s">
        <v>1229</v>
      </c>
      <c r="D23" s="393" t="s">
        <v>1229</v>
      </c>
      <c r="E23" s="393" t="s">
        <v>1229</v>
      </c>
      <c r="F23" s="393" t="s">
        <v>1229</v>
      </c>
      <c r="G23" s="711">
        <v>1</v>
      </c>
      <c r="H23" s="393" t="s">
        <v>1229</v>
      </c>
      <c r="I23" s="372" t="s">
        <v>857</v>
      </c>
      <c r="J23" s="393">
        <f t="shared" si="2"/>
        <v>1</v>
      </c>
      <c r="K23" s="393">
        <v>7</v>
      </c>
      <c r="L23" s="393">
        <v>5</v>
      </c>
    </row>
    <row r="24" spans="1:12" ht="12.75" customHeight="1">
      <c r="A24" s="237" t="s">
        <v>1192</v>
      </c>
      <c r="B24" s="1078">
        <f>IF(SUM(B25:B34)=0,"-",SUM(B25:B34))</f>
        <v>1</v>
      </c>
      <c r="C24" s="1078">
        <f t="shared" ref="C24:D24" si="3">IF(SUM(C25:C34)=0,"-",SUM(C25:C34))</f>
        <v>6</v>
      </c>
      <c r="D24" s="1078">
        <f t="shared" si="3"/>
        <v>1</v>
      </c>
      <c r="E24" s="1078">
        <f>IF(SUM(E25:E34)=0,"-",SUM(E25:E34))</f>
        <v>18</v>
      </c>
      <c r="F24" s="1078" t="str">
        <f>IF(SUM(F25:F34)=0,"-",SUM(F25:F34))</f>
        <v>-</v>
      </c>
      <c r="G24" s="1078">
        <f>IF(SUM(G25:G34)=0,"-",SUM(G25:G34))</f>
        <v>2</v>
      </c>
      <c r="H24" s="1078" t="str">
        <f>IF(SUM(H25:H34)=0,"-",SUM(H25:H34))</f>
        <v>-</v>
      </c>
      <c r="I24" s="413">
        <f>IF(SUM(I25:I34)=0,"..",SUM(I25:I34))</f>
        <v>66</v>
      </c>
      <c r="J24" s="303">
        <f>SUM( B24,C24,D24,E24,F24,G24,H24,I24)</f>
        <v>94</v>
      </c>
      <c r="K24" s="303">
        <f>IF(SUM(K25:K34)=0,"-",SUM(K25:K34))</f>
        <v>1045</v>
      </c>
      <c r="L24" s="303">
        <f>IF(SUM(L25:L34)=0,"-",SUM(L25:L34))+36</f>
        <v>201</v>
      </c>
    </row>
    <row r="25" spans="1:12" ht="12.75" customHeight="1">
      <c r="A25" s="234" t="s">
        <v>1218</v>
      </c>
      <c r="B25" s="372" t="s">
        <v>1229</v>
      </c>
      <c r="C25" s="711">
        <v>1</v>
      </c>
      <c r="D25" s="372" t="s">
        <v>1229</v>
      </c>
      <c r="E25" s="393">
        <v>4</v>
      </c>
      <c r="F25" s="393" t="s">
        <v>1229</v>
      </c>
      <c r="G25" s="393" t="s">
        <v>1229</v>
      </c>
      <c r="H25" s="393" t="s">
        <v>1229</v>
      </c>
      <c r="I25" s="372">
        <v>3</v>
      </c>
      <c r="J25" s="393">
        <v>8</v>
      </c>
      <c r="K25" s="393">
        <v>84</v>
      </c>
      <c r="L25" s="393">
        <v>19</v>
      </c>
    </row>
    <row r="26" spans="1:12" ht="12.75" customHeight="1">
      <c r="A26" s="234" t="s">
        <v>759</v>
      </c>
      <c r="B26" s="372" t="s">
        <v>1229</v>
      </c>
      <c r="C26" s="711">
        <v>1</v>
      </c>
      <c r="D26" s="372" t="s">
        <v>1229</v>
      </c>
      <c r="E26" s="711">
        <v>2</v>
      </c>
      <c r="F26" s="393" t="s">
        <v>1229</v>
      </c>
      <c r="G26" s="393" t="s">
        <v>1229</v>
      </c>
      <c r="H26" s="393" t="s">
        <v>1229</v>
      </c>
      <c r="I26" s="372">
        <v>7</v>
      </c>
      <c r="J26" s="393">
        <f t="shared" ref="J26:J33" si="4">SUM( B26,C26,D26,E26,F26,G26,H26,I26)</f>
        <v>10</v>
      </c>
      <c r="K26" s="393">
        <v>78</v>
      </c>
      <c r="L26" s="393">
        <v>14</v>
      </c>
    </row>
    <row r="27" spans="1:12" ht="12.75" customHeight="1">
      <c r="A27" s="234" t="s">
        <v>760</v>
      </c>
      <c r="B27" s="372" t="s">
        <v>1229</v>
      </c>
      <c r="C27" s="711">
        <v>1</v>
      </c>
      <c r="D27" s="372" t="s">
        <v>1229</v>
      </c>
      <c r="E27" s="711">
        <v>3</v>
      </c>
      <c r="F27" s="393" t="s">
        <v>1229</v>
      </c>
      <c r="G27" s="393" t="s">
        <v>1229</v>
      </c>
      <c r="H27" s="393" t="s">
        <v>1229</v>
      </c>
      <c r="I27" s="372">
        <v>1</v>
      </c>
      <c r="J27" s="393">
        <f t="shared" si="4"/>
        <v>5</v>
      </c>
      <c r="K27" s="393">
        <v>57</v>
      </c>
      <c r="L27" s="393">
        <v>9</v>
      </c>
    </row>
    <row r="28" spans="1:12" ht="12.75" customHeight="1">
      <c r="A28" s="234" t="s">
        <v>1194</v>
      </c>
      <c r="B28" s="372" t="s">
        <v>1229</v>
      </c>
      <c r="C28" s="711">
        <v>1</v>
      </c>
      <c r="D28" s="372" t="s">
        <v>1229</v>
      </c>
      <c r="E28" s="393">
        <v>4</v>
      </c>
      <c r="F28" s="393" t="s">
        <v>1229</v>
      </c>
      <c r="G28" s="393" t="s">
        <v>1229</v>
      </c>
      <c r="H28" s="393" t="s">
        <v>1229</v>
      </c>
      <c r="I28" s="372">
        <v>2</v>
      </c>
      <c r="J28" s="393">
        <v>7</v>
      </c>
      <c r="K28" s="393">
        <v>62</v>
      </c>
      <c r="L28" s="393">
        <v>10</v>
      </c>
    </row>
    <row r="29" spans="1:12" ht="12.75" customHeight="1">
      <c r="A29" s="234" t="s">
        <v>1735</v>
      </c>
      <c r="B29" s="393" t="s">
        <v>1229</v>
      </c>
      <c r="C29" s="394" t="s">
        <v>1229</v>
      </c>
      <c r="D29" s="372">
        <v>1</v>
      </c>
      <c r="E29" s="711">
        <v>2</v>
      </c>
      <c r="F29" s="393" t="s">
        <v>1229</v>
      </c>
      <c r="G29" s="393" t="s">
        <v>1229</v>
      </c>
      <c r="H29" s="393" t="s">
        <v>1229</v>
      </c>
      <c r="I29" s="372">
        <v>14</v>
      </c>
      <c r="J29" s="393">
        <f t="shared" si="4"/>
        <v>17</v>
      </c>
      <c r="K29" s="393">
        <v>122</v>
      </c>
      <c r="L29" s="393">
        <v>22</v>
      </c>
    </row>
    <row r="30" spans="1:12" ht="12.75" customHeight="1">
      <c r="A30" s="234" t="s">
        <v>761</v>
      </c>
      <c r="B30" s="393" t="s">
        <v>1229</v>
      </c>
      <c r="C30" s="394">
        <v>1</v>
      </c>
      <c r="D30" s="372" t="s">
        <v>1229</v>
      </c>
      <c r="E30" s="711">
        <v>1</v>
      </c>
      <c r="F30" s="393" t="s">
        <v>1229</v>
      </c>
      <c r="G30" s="393" t="s">
        <v>1229</v>
      </c>
      <c r="H30" s="393" t="s">
        <v>1229</v>
      </c>
      <c r="I30" s="372">
        <v>5</v>
      </c>
      <c r="J30" s="393">
        <f t="shared" si="4"/>
        <v>7</v>
      </c>
      <c r="K30" s="393">
        <v>76</v>
      </c>
      <c r="L30" s="393">
        <v>12</v>
      </c>
    </row>
    <row r="31" spans="1:12" ht="12.75" customHeight="1">
      <c r="A31" s="234" t="s">
        <v>762</v>
      </c>
      <c r="B31" s="393" t="s">
        <v>1229</v>
      </c>
      <c r="C31" s="394">
        <v>1</v>
      </c>
      <c r="D31" s="372" t="s">
        <v>1229</v>
      </c>
      <c r="E31" s="711">
        <v>2</v>
      </c>
      <c r="F31" s="393" t="s">
        <v>1229</v>
      </c>
      <c r="G31" s="393" t="s">
        <v>1229</v>
      </c>
      <c r="H31" s="393" t="s">
        <v>1229</v>
      </c>
      <c r="I31" s="372">
        <v>6</v>
      </c>
      <c r="J31" s="393">
        <f t="shared" si="4"/>
        <v>9</v>
      </c>
      <c r="K31" s="393">
        <v>75</v>
      </c>
      <c r="L31" s="393">
        <v>12</v>
      </c>
    </row>
    <row r="32" spans="1:12" ht="12.75" customHeight="1">
      <c r="A32" s="234" t="s">
        <v>836</v>
      </c>
      <c r="B32" s="393" t="s">
        <v>1229</v>
      </c>
      <c r="C32" s="394" t="s">
        <v>1229</v>
      </c>
      <c r="D32" s="393" t="s">
        <v>1229</v>
      </c>
      <c r="E32" s="393" t="s">
        <v>1229</v>
      </c>
      <c r="F32" s="393" t="s">
        <v>1229</v>
      </c>
      <c r="G32" s="711">
        <v>1</v>
      </c>
      <c r="H32" s="393" t="s">
        <v>1229</v>
      </c>
      <c r="I32" s="372">
        <v>7</v>
      </c>
      <c r="J32" s="393">
        <f t="shared" si="4"/>
        <v>8</v>
      </c>
      <c r="K32" s="393">
        <v>58</v>
      </c>
      <c r="L32" s="393">
        <v>17</v>
      </c>
    </row>
    <row r="33" spans="1:22" ht="12.75" customHeight="1">
      <c r="A33" s="234" t="s">
        <v>1222</v>
      </c>
      <c r="B33" s="711">
        <v>1</v>
      </c>
      <c r="C33" s="394" t="s">
        <v>1229</v>
      </c>
      <c r="D33" s="393" t="s">
        <v>1229</v>
      </c>
      <c r="E33" s="393" t="s">
        <v>1229</v>
      </c>
      <c r="F33" s="393" t="s">
        <v>1229</v>
      </c>
      <c r="G33" s="393" t="s">
        <v>1229</v>
      </c>
      <c r="H33" s="393" t="s">
        <v>1229</v>
      </c>
      <c r="I33" s="372">
        <v>12</v>
      </c>
      <c r="J33" s="393">
        <f t="shared" si="4"/>
        <v>13</v>
      </c>
      <c r="K33" s="393">
        <v>214</v>
      </c>
      <c r="L33" s="393">
        <v>50</v>
      </c>
    </row>
    <row r="34" spans="1:22" ht="12.75" customHeight="1">
      <c r="A34" s="235" t="s">
        <v>1736</v>
      </c>
      <c r="B34" s="441" t="s">
        <v>1229</v>
      </c>
      <c r="C34" s="442" t="s">
        <v>1229</v>
      </c>
      <c r="D34" s="382" t="s">
        <v>1229</v>
      </c>
      <c r="E34" s="441" t="s">
        <v>1229</v>
      </c>
      <c r="F34" s="442" t="s">
        <v>1229</v>
      </c>
      <c r="G34" s="1328">
        <v>1</v>
      </c>
      <c r="H34" s="441" t="s">
        <v>1229</v>
      </c>
      <c r="I34" s="380">
        <v>9</v>
      </c>
      <c r="J34" s="441">
        <f>SUM( B34,C34,D34,E33,F34,G34,H34,I34)</f>
        <v>10</v>
      </c>
      <c r="K34" s="441">
        <v>219</v>
      </c>
      <c r="L34" s="441" t="s">
        <v>1856</v>
      </c>
    </row>
    <row r="35" spans="1:22" ht="12.75" customHeight="1">
      <c r="A35" s="715"/>
      <c r="B35" s="372"/>
      <c r="C35" s="372"/>
      <c r="D35" s="372"/>
      <c r="E35" s="372"/>
      <c r="F35" s="372"/>
      <c r="G35" s="372"/>
      <c r="H35" s="372"/>
      <c r="I35" s="372"/>
      <c r="J35" s="372"/>
      <c r="K35" s="372"/>
      <c r="L35" s="1187" t="s">
        <v>678</v>
      </c>
    </row>
    <row r="36" spans="1:22" ht="14.1" customHeight="1">
      <c r="A36" s="1739" t="s">
        <v>568</v>
      </c>
      <c r="B36" s="1739"/>
      <c r="C36" s="1739"/>
      <c r="D36" s="1739"/>
      <c r="E36" s="1739"/>
      <c r="F36" s="1739"/>
      <c r="G36" s="1739"/>
      <c r="H36" s="1739"/>
      <c r="I36" s="1739"/>
      <c r="J36" s="1739"/>
      <c r="K36" s="1739"/>
      <c r="L36" s="1739"/>
      <c r="M36" s="288"/>
      <c r="N36" s="288"/>
      <c r="O36" s="288"/>
      <c r="P36" s="288"/>
      <c r="Q36" s="288"/>
      <c r="R36" s="288"/>
      <c r="S36" s="288"/>
      <c r="T36" s="288"/>
      <c r="U36" s="288"/>
      <c r="V36" s="288"/>
    </row>
    <row r="37" spans="1:22" ht="14.1" customHeight="1">
      <c r="A37" s="715"/>
      <c r="B37" s="372"/>
      <c r="C37" s="372"/>
      <c r="D37" s="372"/>
      <c r="E37" s="1362"/>
      <c r="F37" s="372"/>
      <c r="G37" s="372"/>
      <c r="H37" s="372"/>
      <c r="I37" s="372"/>
      <c r="J37" s="372"/>
      <c r="K37" s="372"/>
      <c r="L37" s="100" t="s">
        <v>977</v>
      </c>
    </row>
    <row r="38" spans="1:22" ht="15" customHeight="1">
      <c r="A38" s="1831" t="s">
        <v>717</v>
      </c>
      <c r="B38" s="1828" t="s">
        <v>597</v>
      </c>
      <c r="C38" s="1829"/>
      <c r="D38" s="1829"/>
      <c r="E38" s="1829"/>
      <c r="F38" s="1829"/>
      <c r="G38" s="1829"/>
      <c r="H38" s="1829"/>
      <c r="I38" s="1829"/>
      <c r="J38" s="1830"/>
      <c r="K38" s="1839" t="s">
        <v>1456</v>
      </c>
      <c r="L38" s="1831" t="s">
        <v>598</v>
      </c>
    </row>
    <row r="39" spans="1:22" ht="24.75" customHeight="1">
      <c r="A39" s="1832"/>
      <c r="B39" s="1828" t="s">
        <v>1455</v>
      </c>
      <c r="C39" s="1829"/>
      <c r="D39" s="1829"/>
      <c r="E39" s="1830"/>
      <c r="F39" s="1834" t="s">
        <v>496</v>
      </c>
      <c r="G39" s="1831" t="s">
        <v>599</v>
      </c>
      <c r="H39" s="1834" t="s">
        <v>490</v>
      </c>
      <c r="I39" s="1831" t="s">
        <v>600</v>
      </c>
      <c r="J39" s="1837" t="s">
        <v>958</v>
      </c>
      <c r="K39" s="1840"/>
      <c r="L39" s="1832"/>
    </row>
    <row r="40" spans="1:22" ht="54.75" customHeight="1">
      <c r="A40" s="1833"/>
      <c r="B40" s="913" t="s">
        <v>607</v>
      </c>
      <c r="C40" s="908" t="s">
        <v>601</v>
      </c>
      <c r="D40" s="914" t="s">
        <v>602</v>
      </c>
      <c r="E40" s="908" t="s">
        <v>603</v>
      </c>
      <c r="F40" s="1835"/>
      <c r="G40" s="1836"/>
      <c r="H40" s="1835"/>
      <c r="I40" s="1836"/>
      <c r="J40" s="1838"/>
      <c r="K40" s="1841"/>
      <c r="L40" s="1833"/>
    </row>
    <row r="41" spans="1:22" ht="14.25" customHeight="1">
      <c r="A41" s="683" t="s">
        <v>928</v>
      </c>
      <c r="B41" s="689" t="s">
        <v>929</v>
      </c>
      <c r="C41" s="683" t="s">
        <v>930</v>
      </c>
      <c r="D41" s="684" t="s">
        <v>931</v>
      </c>
      <c r="E41" s="683" t="s">
        <v>932</v>
      </c>
      <c r="F41" s="684" t="s">
        <v>933</v>
      </c>
      <c r="G41" s="683" t="s">
        <v>934</v>
      </c>
      <c r="H41" s="684" t="s">
        <v>959</v>
      </c>
      <c r="I41" s="683" t="s">
        <v>960</v>
      </c>
      <c r="J41" s="690" t="s">
        <v>961</v>
      </c>
      <c r="K41" s="684" t="s">
        <v>962</v>
      </c>
      <c r="L41" s="683" t="s">
        <v>1037</v>
      </c>
    </row>
    <row r="42" spans="1:22" ht="14.25" customHeight="1">
      <c r="A42" s="237" t="s">
        <v>806</v>
      </c>
      <c r="B42" s="649">
        <f>IF(SUM(B43:B46)=0,"-",SUM(B43:B46))</f>
        <v>1</v>
      </c>
      <c r="C42" s="649">
        <f>IF(SUM(C43:C46)=0,"-",SUM(C43:C46))</f>
        <v>3</v>
      </c>
      <c r="D42" s="649">
        <f t="shared" ref="D42:L42" si="5">IF(SUM(D43:D46)=0,"-",SUM(D43:D46))</f>
        <v>1</v>
      </c>
      <c r="E42" s="413">
        <f t="shared" si="5"/>
        <v>6</v>
      </c>
      <c r="F42" s="649" t="str">
        <f t="shared" si="5"/>
        <v>-</v>
      </c>
      <c r="G42" s="649" t="str">
        <f t="shared" si="5"/>
        <v>-</v>
      </c>
      <c r="H42" s="649" t="str">
        <f t="shared" si="5"/>
        <v>-</v>
      </c>
      <c r="I42" s="413">
        <f>IF(SUM(I43:I46)=0,"..",SUM(I43:I46))</f>
        <v>15</v>
      </c>
      <c r="J42" s="303">
        <f>SUM( B42,C42,D42,E42,F42,G42,H42,I42)</f>
        <v>26</v>
      </c>
      <c r="K42" s="303">
        <f t="shared" si="5"/>
        <v>351</v>
      </c>
      <c r="L42" s="303">
        <f t="shared" si="5"/>
        <v>49</v>
      </c>
    </row>
    <row r="43" spans="1:22" ht="14.25" customHeight="1">
      <c r="A43" s="234" t="s">
        <v>1223</v>
      </c>
      <c r="B43" s="711">
        <v>1</v>
      </c>
      <c r="C43" s="393" t="s">
        <v>1229</v>
      </c>
      <c r="D43" s="372">
        <v>1</v>
      </c>
      <c r="E43" s="393" t="s">
        <v>1229</v>
      </c>
      <c r="F43" s="393" t="s">
        <v>1229</v>
      </c>
      <c r="G43" s="373" t="s">
        <v>1229</v>
      </c>
      <c r="H43" s="303" t="str">
        <f t="shared" ref="H43:H62" si="6">IF(SUM(H44:H47)=0,"-",SUM(H44:H47))</f>
        <v>-</v>
      </c>
      <c r="I43" s="372">
        <v>6</v>
      </c>
      <c r="J43" s="393">
        <f t="shared" ref="J43:J48" si="7">SUM( B43,C43,D43,E43,F43,G43,H43,I43)</f>
        <v>8</v>
      </c>
      <c r="K43" s="393">
        <v>145</v>
      </c>
      <c r="L43" s="393">
        <v>23</v>
      </c>
    </row>
    <row r="44" spans="1:22" ht="14.25" customHeight="1">
      <c r="A44" s="234" t="s">
        <v>1224</v>
      </c>
      <c r="B44" s="393" t="s">
        <v>1229</v>
      </c>
      <c r="C44" s="393">
        <v>1</v>
      </c>
      <c r="D44" s="372" t="s">
        <v>1229</v>
      </c>
      <c r="E44" s="711">
        <v>1</v>
      </c>
      <c r="F44" s="393" t="s">
        <v>1229</v>
      </c>
      <c r="G44" s="373" t="s">
        <v>1229</v>
      </c>
      <c r="H44" s="303" t="str">
        <f t="shared" si="6"/>
        <v>-</v>
      </c>
      <c r="I44" s="372">
        <v>3</v>
      </c>
      <c r="J44" s="393">
        <f t="shared" si="7"/>
        <v>5</v>
      </c>
      <c r="K44" s="393">
        <v>55</v>
      </c>
      <c r="L44" s="393">
        <v>9</v>
      </c>
    </row>
    <row r="45" spans="1:22" ht="14.25" customHeight="1">
      <c r="A45" s="234" t="s">
        <v>1197</v>
      </c>
      <c r="B45" s="393" t="s">
        <v>1229</v>
      </c>
      <c r="C45" s="393">
        <v>1</v>
      </c>
      <c r="D45" s="372" t="s">
        <v>1229</v>
      </c>
      <c r="E45" s="711">
        <v>3</v>
      </c>
      <c r="F45" s="393" t="s">
        <v>1229</v>
      </c>
      <c r="G45" s="373" t="s">
        <v>1229</v>
      </c>
      <c r="H45" s="303" t="str">
        <f t="shared" si="6"/>
        <v>-</v>
      </c>
      <c r="I45" s="372">
        <v>5</v>
      </c>
      <c r="J45" s="393">
        <f t="shared" si="7"/>
        <v>9</v>
      </c>
      <c r="K45" s="393">
        <v>80</v>
      </c>
      <c r="L45" s="393">
        <v>10</v>
      </c>
    </row>
    <row r="46" spans="1:22" ht="14.25" customHeight="1">
      <c r="A46" s="234" t="s">
        <v>1198</v>
      </c>
      <c r="B46" s="393" t="s">
        <v>1229</v>
      </c>
      <c r="C46" s="393">
        <v>1</v>
      </c>
      <c r="D46" s="372" t="s">
        <v>1229</v>
      </c>
      <c r="E46" s="393">
        <v>2</v>
      </c>
      <c r="F46" s="393" t="s">
        <v>1229</v>
      </c>
      <c r="G46" s="373" t="s">
        <v>1229</v>
      </c>
      <c r="H46" s="303" t="str">
        <f t="shared" si="6"/>
        <v>-</v>
      </c>
      <c r="I46" s="372">
        <v>1</v>
      </c>
      <c r="J46" s="393">
        <f t="shared" si="7"/>
        <v>4</v>
      </c>
      <c r="K46" s="393">
        <v>71</v>
      </c>
      <c r="L46" s="393">
        <v>7</v>
      </c>
    </row>
    <row r="47" spans="1:22" ht="14.25" customHeight="1">
      <c r="A47" s="237" t="s">
        <v>807</v>
      </c>
      <c r="B47" s="303">
        <f>IF(SUM(B48:B57)=0,"-",SUM(B48:B57))</f>
        <v>1</v>
      </c>
      <c r="C47" s="303">
        <f>IF(SUM(C48:C57)=0,"-",SUM(C48:C57))</f>
        <v>6</v>
      </c>
      <c r="D47" s="303">
        <f t="shared" ref="D47:L47" si="8">IF(SUM(D48:D57)=0,"-",SUM(D48:D57))</f>
        <v>3</v>
      </c>
      <c r="E47" s="413">
        <f t="shared" si="8"/>
        <v>17</v>
      </c>
      <c r="F47" s="303" t="str">
        <f t="shared" si="8"/>
        <v>-</v>
      </c>
      <c r="G47" s="1364" t="s">
        <v>1229</v>
      </c>
      <c r="H47" s="303" t="str">
        <f t="shared" si="6"/>
        <v>-</v>
      </c>
      <c r="I47" s="413">
        <f>IF(SUM(I48:I57)=0,"..",SUM(I48:I57))</f>
        <v>68</v>
      </c>
      <c r="J47" s="303">
        <f>SUM( B47,C47,D47,E47,F47,G47,H47,I47)</f>
        <v>95</v>
      </c>
      <c r="K47" s="303">
        <f t="shared" si="8"/>
        <v>1077</v>
      </c>
      <c r="L47" s="303">
        <f t="shared" si="8"/>
        <v>169</v>
      </c>
    </row>
    <row r="48" spans="1:22" ht="14.25" customHeight="1">
      <c r="A48" s="234" t="s">
        <v>1225</v>
      </c>
      <c r="B48" s="393" t="s">
        <v>1229</v>
      </c>
      <c r="C48" s="393">
        <v>1</v>
      </c>
      <c r="D48" s="372" t="s">
        <v>1229</v>
      </c>
      <c r="E48" s="711">
        <v>1</v>
      </c>
      <c r="F48" s="393" t="s">
        <v>1229</v>
      </c>
      <c r="G48" s="373" t="s">
        <v>1229</v>
      </c>
      <c r="H48" s="303" t="str">
        <f t="shared" si="6"/>
        <v>-</v>
      </c>
      <c r="I48" s="372">
        <v>3</v>
      </c>
      <c r="J48" s="393">
        <f t="shared" si="7"/>
        <v>5</v>
      </c>
      <c r="K48" s="393">
        <v>50</v>
      </c>
      <c r="L48" s="393">
        <v>8</v>
      </c>
    </row>
    <row r="49" spans="1:12" ht="14.25" customHeight="1">
      <c r="A49" s="234" t="s">
        <v>1226</v>
      </c>
      <c r="B49" s="393" t="s">
        <v>1229</v>
      </c>
      <c r="C49" s="393">
        <v>1</v>
      </c>
      <c r="D49" s="372" t="s">
        <v>1229</v>
      </c>
      <c r="E49" s="711">
        <v>2</v>
      </c>
      <c r="F49" s="393" t="s">
        <v>1229</v>
      </c>
      <c r="G49" s="373" t="s">
        <v>1229</v>
      </c>
      <c r="H49" s="303" t="str">
        <f t="shared" si="6"/>
        <v>-</v>
      </c>
      <c r="I49" s="372">
        <v>6</v>
      </c>
      <c r="J49" s="393">
        <f t="shared" ref="J49:J62" si="9">SUM( B49,C49,D49,E49,F49,G49,H49,I49)</f>
        <v>9</v>
      </c>
      <c r="K49" s="393">
        <v>70</v>
      </c>
      <c r="L49" s="393">
        <v>10</v>
      </c>
    </row>
    <row r="50" spans="1:12" ht="14.25" customHeight="1">
      <c r="A50" s="234" t="s">
        <v>837</v>
      </c>
      <c r="B50" s="393" t="s">
        <v>1229</v>
      </c>
      <c r="C50" s="393">
        <v>1</v>
      </c>
      <c r="D50" s="372" t="s">
        <v>1229</v>
      </c>
      <c r="E50" s="393" t="s">
        <v>1229</v>
      </c>
      <c r="F50" s="393" t="s">
        <v>1229</v>
      </c>
      <c r="G50" s="373" t="s">
        <v>1229</v>
      </c>
      <c r="H50" s="303" t="str">
        <f t="shared" si="6"/>
        <v>-</v>
      </c>
      <c r="I50" s="372">
        <v>6</v>
      </c>
      <c r="J50" s="393">
        <f t="shared" si="9"/>
        <v>7</v>
      </c>
      <c r="K50" s="393">
        <v>57</v>
      </c>
      <c r="L50" s="393">
        <v>10</v>
      </c>
    </row>
    <row r="51" spans="1:12" ht="14.25" customHeight="1">
      <c r="A51" s="234" t="s">
        <v>1203</v>
      </c>
      <c r="B51" s="393" t="s">
        <v>1229</v>
      </c>
      <c r="C51" s="393" t="s">
        <v>1229</v>
      </c>
      <c r="D51" s="712">
        <v>1</v>
      </c>
      <c r="E51" s="711">
        <v>4</v>
      </c>
      <c r="F51" s="393" t="s">
        <v>1229</v>
      </c>
      <c r="G51" s="373" t="s">
        <v>1229</v>
      </c>
      <c r="H51" s="303" t="str">
        <f t="shared" si="6"/>
        <v>-</v>
      </c>
      <c r="I51" s="372">
        <v>4</v>
      </c>
      <c r="J51" s="393">
        <f t="shared" si="9"/>
        <v>9</v>
      </c>
      <c r="K51" s="393">
        <v>68</v>
      </c>
      <c r="L51" s="393">
        <v>15</v>
      </c>
    </row>
    <row r="52" spans="1:12" ht="14.25" customHeight="1">
      <c r="A52" s="234" t="s">
        <v>1204</v>
      </c>
      <c r="B52" s="393" t="s">
        <v>1229</v>
      </c>
      <c r="C52" s="393" t="s">
        <v>1229</v>
      </c>
      <c r="D52" s="712">
        <v>1</v>
      </c>
      <c r="E52" s="711">
        <v>1</v>
      </c>
      <c r="F52" s="393" t="s">
        <v>1229</v>
      </c>
      <c r="G52" s="373" t="s">
        <v>1229</v>
      </c>
      <c r="H52" s="303" t="str">
        <f t="shared" si="6"/>
        <v>-</v>
      </c>
      <c r="I52" s="372">
        <v>15</v>
      </c>
      <c r="J52" s="393">
        <f t="shared" si="9"/>
        <v>17</v>
      </c>
      <c r="K52" s="393">
        <v>104</v>
      </c>
      <c r="L52" s="393">
        <v>23</v>
      </c>
    </row>
    <row r="53" spans="1:12" ht="14.25" customHeight="1">
      <c r="A53" s="234" t="s">
        <v>1744</v>
      </c>
      <c r="B53" s="393" t="s">
        <v>1229</v>
      </c>
      <c r="C53" s="393">
        <v>1</v>
      </c>
      <c r="D53" s="372" t="s">
        <v>1229</v>
      </c>
      <c r="E53" s="711">
        <v>2</v>
      </c>
      <c r="F53" s="393" t="s">
        <v>1229</v>
      </c>
      <c r="G53" s="373" t="s">
        <v>1229</v>
      </c>
      <c r="H53" s="303" t="str">
        <f t="shared" si="6"/>
        <v>-</v>
      </c>
      <c r="I53" s="372">
        <v>7</v>
      </c>
      <c r="J53" s="393">
        <f t="shared" si="9"/>
        <v>10</v>
      </c>
      <c r="K53" s="393">
        <v>86</v>
      </c>
      <c r="L53" s="393">
        <v>16</v>
      </c>
    </row>
    <row r="54" spans="1:12" ht="14.25" customHeight="1">
      <c r="A54" s="234" t="s">
        <v>1745</v>
      </c>
      <c r="B54" s="393" t="s">
        <v>1229</v>
      </c>
      <c r="C54" s="393" t="s">
        <v>1229</v>
      </c>
      <c r="D54" s="712">
        <v>1</v>
      </c>
      <c r="E54" s="711">
        <v>2</v>
      </c>
      <c r="F54" s="393" t="s">
        <v>1229</v>
      </c>
      <c r="G54" s="373" t="s">
        <v>1229</v>
      </c>
      <c r="H54" s="303" t="str">
        <f t="shared" si="6"/>
        <v>-</v>
      </c>
      <c r="I54" s="372">
        <v>11</v>
      </c>
      <c r="J54" s="393">
        <f t="shared" si="9"/>
        <v>14</v>
      </c>
      <c r="K54" s="393">
        <v>95</v>
      </c>
      <c r="L54" s="393">
        <v>18</v>
      </c>
    </row>
    <row r="55" spans="1:12" ht="14.25" customHeight="1">
      <c r="A55" s="234" t="s">
        <v>1227</v>
      </c>
      <c r="B55" s="393" t="s">
        <v>1229</v>
      </c>
      <c r="C55" s="711">
        <v>1</v>
      </c>
      <c r="D55" s="372" t="s">
        <v>1229</v>
      </c>
      <c r="E55" s="711">
        <v>2</v>
      </c>
      <c r="F55" s="393" t="s">
        <v>1229</v>
      </c>
      <c r="G55" s="373" t="s">
        <v>1229</v>
      </c>
      <c r="H55" s="303" t="str">
        <f t="shared" si="6"/>
        <v>-</v>
      </c>
      <c r="I55" s="372">
        <v>2</v>
      </c>
      <c r="J55" s="393">
        <f t="shared" si="9"/>
        <v>5</v>
      </c>
      <c r="K55" s="393">
        <v>82</v>
      </c>
      <c r="L55" s="393">
        <v>11</v>
      </c>
    </row>
    <row r="56" spans="1:12" ht="14.25" customHeight="1">
      <c r="A56" s="234" t="s">
        <v>1228</v>
      </c>
      <c r="B56" s="393" t="s">
        <v>1229</v>
      </c>
      <c r="C56" s="393">
        <v>1</v>
      </c>
      <c r="D56" s="372" t="s">
        <v>1229</v>
      </c>
      <c r="E56" s="711">
        <v>3</v>
      </c>
      <c r="F56" s="393" t="s">
        <v>1229</v>
      </c>
      <c r="G56" s="373" t="s">
        <v>1229</v>
      </c>
      <c r="H56" s="303" t="str">
        <f t="shared" si="6"/>
        <v>-</v>
      </c>
      <c r="I56" s="372">
        <v>6</v>
      </c>
      <c r="J56" s="393">
        <f t="shared" si="9"/>
        <v>10</v>
      </c>
      <c r="K56" s="393">
        <v>110</v>
      </c>
      <c r="L56" s="393">
        <v>17</v>
      </c>
    </row>
    <row r="57" spans="1:12" ht="14.25" customHeight="1">
      <c r="A57" s="234" t="s">
        <v>863</v>
      </c>
      <c r="B57" s="711">
        <v>1</v>
      </c>
      <c r="C57" s="393" t="s">
        <v>1229</v>
      </c>
      <c r="D57" s="372" t="s">
        <v>1229</v>
      </c>
      <c r="E57" s="303" t="s">
        <v>1229</v>
      </c>
      <c r="F57" s="393" t="s">
        <v>1229</v>
      </c>
      <c r="G57" s="373" t="s">
        <v>1229</v>
      </c>
      <c r="H57" s="303" t="str">
        <f t="shared" si="6"/>
        <v>-</v>
      </c>
      <c r="I57" s="372">
        <v>8</v>
      </c>
      <c r="J57" s="393">
        <f t="shared" si="9"/>
        <v>9</v>
      </c>
      <c r="K57" s="393">
        <v>355</v>
      </c>
      <c r="L57" s="393">
        <v>41</v>
      </c>
    </row>
    <row r="58" spans="1:12" ht="14.25" customHeight="1">
      <c r="A58" s="237" t="s">
        <v>1561</v>
      </c>
      <c r="B58" s="303">
        <f>IF(SUM(B59:B62)=0,"-",SUM(B59:B62))</f>
        <v>1</v>
      </c>
      <c r="C58" s="303">
        <f t="shared" ref="C58:L58" si="10">IF(SUM(C59:C62)=0,"-",SUM(C59:C62))</f>
        <v>3</v>
      </c>
      <c r="D58" s="303">
        <f t="shared" si="10"/>
        <v>1</v>
      </c>
      <c r="E58" s="413">
        <f t="shared" si="10"/>
        <v>11</v>
      </c>
      <c r="F58" s="303" t="str">
        <f t="shared" si="10"/>
        <v>-</v>
      </c>
      <c r="G58" s="1364" t="str">
        <f t="shared" si="10"/>
        <v>-</v>
      </c>
      <c r="H58" s="303" t="str">
        <f t="shared" si="6"/>
        <v>-</v>
      </c>
      <c r="I58" s="413">
        <f>IF(SUM(I59:I62)=0,"..",SUM(I59:I62))</f>
        <v>20</v>
      </c>
      <c r="J58" s="303">
        <f>SUM( B58,C58,D58,E58,F58,G58,H58,I58)</f>
        <v>36</v>
      </c>
      <c r="K58" s="303">
        <f t="shared" si="10"/>
        <v>458</v>
      </c>
      <c r="L58" s="303">
        <f t="shared" si="10"/>
        <v>73</v>
      </c>
    </row>
    <row r="59" spans="1:12" ht="14.25" customHeight="1">
      <c r="A59" s="234" t="s">
        <v>1205</v>
      </c>
      <c r="B59" s="711">
        <v>1</v>
      </c>
      <c r="C59" s="393" t="s">
        <v>1229</v>
      </c>
      <c r="D59" s="372">
        <v>1</v>
      </c>
      <c r="E59" s="711">
        <v>1</v>
      </c>
      <c r="F59" s="393" t="s">
        <v>1229</v>
      </c>
      <c r="G59" s="373" t="s">
        <v>1229</v>
      </c>
      <c r="H59" s="303" t="str">
        <f t="shared" si="6"/>
        <v>-</v>
      </c>
      <c r="I59" s="372">
        <v>11</v>
      </c>
      <c r="J59" s="393">
        <f t="shared" si="9"/>
        <v>14</v>
      </c>
      <c r="K59" s="393">
        <v>215</v>
      </c>
      <c r="L59" s="393">
        <v>39</v>
      </c>
    </row>
    <row r="60" spans="1:12" ht="14.25" customHeight="1">
      <c r="A60" s="234" t="s">
        <v>1206</v>
      </c>
      <c r="B60" s="393" t="s">
        <v>1229</v>
      </c>
      <c r="C60" s="393">
        <v>1</v>
      </c>
      <c r="D60" s="372" t="s">
        <v>1229</v>
      </c>
      <c r="E60" s="711">
        <v>4</v>
      </c>
      <c r="F60" s="393" t="s">
        <v>1229</v>
      </c>
      <c r="G60" s="373" t="s">
        <v>1229</v>
      </c>
      <c r="H60" s="303" t="str">
        <f t="shared" si="6"/>
        <v>-</v>
      </c>
      <c r="I60" s="372">
        <v>1</v>
      </c>
      <c r="J60" s="393">
        <f t="shared" si="9"/>
        <v>6</v>
      </c>
      <c r="K60" s="393">
        <v>67</v>
      </c>
      <c r="L60" s="393">
        <v>11</v>
      </c>
    </row>
    <row r="61" spans="1:12" ht="14.25" customHeight="1">
      <c r="A61" s="234" t="s">
        <v>1207</v>
      </c>
      <c r="B61" s="393" t="s">
        <v>1229</v>
      </c>
      <c r="C61" s="711">
        <v>1</v>
      </c>
      <c r="D61" s="372" t="s">
        <v>1229</v>
      </c>
      <c r="E61" s="711">
        <v>3</v>
      </c>
      <c r="F61" s="393" t="s">
        <v>1229</v>
      </c>
      <c r="G61" s="373" t="s">
        <v>1229</v>
      </c>
      <c r="H61" s="303" t="str">
        <f t="shared" si="6"/>
        <v>-</v>
      </c>
      <c r="I61" s="372">
        <v>1</v>
      </c>
      <c r="J61" s="393">
        <f t="shared" si="9"/>
        <v>5</v>
      </c>
      <c r="K61" s="393">
        <v>83</v>
      </c>
      <c r="L61" s="393">
        <v>10</v>
      </c>
    </row>
    <row r="62" spans="1:12" ht="14.25" customHeight="1">
      <c r="A62" s="235" t="s">
        <v>1208</v>
      </c>
      <c r="B62" s="441" t="s">
        <v>1229</v>
      </c>
      <c r="C62" s="441">
        <v>1</v>
      </c>
      <c r="D62" s="380" t="s">
        <v>1229</v>
      </c>
      <c r="E62" s="65">
        <v>3</v>
      </c>
      <c r="F62" s="442" t="s">
        <v>1229</v>
      </c>
      <c r="G62" s="382" t="s">
        <v>1229</v>
      </c>
      <c r="H62" s="1363" t="str">
        <f t="shared" si="6"/>
        <v>-</v>
      </c>
      <c r="I62" s="380">
        <v>7</v>
      </c>
      <c r="J62" s="441">
        <f t="shared" si="9"/>
        <v>11</v>
      </c>
      <c r="K62" s="441">
        <v>93</v>
      </c>
      <c r="L62" s="441">
        <v>13</v>
      </c>
    </row>
    <row r="63" spans="1:12">
      <c r="A63" s="1208" t="s">
        <v>1841</v>
      </c>
      <c r="B63" s="717"/>
      <c r="C63" s="717"/>
      <c r="D63" s="717"/>
      <c r="E63" s="61"/>
      <c r="G63" s="1209" t="s">
        <v>1446</v>
      </c>
      <c r="H63" s="1210" t="s">
        <v>525</v>
      </c>
      <c r="J63" s="164"/>
      <c r="K63" s="164"/>
    </row>
    <row r="64" spans="1:12">
      <c r="A64" s="1507" t="s">
        <v>1310</v>
      </c>
      <c r="G64" s="1210" t="s">
        <v>604</v>
      </c>
      <c r="H64" s="1211" t="s">
        <v>864</v>
      </c>
      <c r="J64" s="2"/>
      <c r="K64" s="2"/>
      <c r="L64" s="2"/>
    </row>
    <row r="65" spans="1:11" ht="13.5">
      <c r="A65" s="1532" t="s">
        <v>1122</v>
      </c>
      <c r="G65" s="1210"/>
      <c r="H65" s="1210" t="s">
        <v>526</v>
      </c>
      <c r="J65" s="164"/>
      <c r="K65" s="164"/>
    </row>
    <row r="66" spans="1:11" ht="13.5">
      <c r="A66" s="1532"/>
    </row>
  </sheetData>
  <mergeCells count="24">
    <mergeCell ref="A36:L36"/>
    <mergeCell ref="A38:A40"/>
    <mergeCell ref="K38:K40"/>
    <mergeCell ref="A1:L1"/>
    <mergeCell ref="B13:L13"/>
    <mergeCell ref="A2:L2"/>
    <mergeCell ref="K4:K6"/>
    <mergeCell ref="L4:L6"/>
    <mergeCell ref="B4:J4"/>
    <mergeCell ref="A4:A6"/>
    <mergeCell ref="I5:I6"/>
    <mergeCell ref="J5:J6"/>
    <mergeCell ref="B5:E5"/>
    <mergeCell ref="F5:F6"/>
    <mergeCell ref="G5:G6"/>
    <mergeCell ref="H5:H6"/>
    <mergeCell ref="B39:E39"/>
    <mergeCell ref="L38:L40"/>
    <mergeCell ref="F39:F40"/>
    <mergeCell ref="G39:G40"/>
    <mergeCell ref="H39:H40"/>
    <mergeCell ref="I39:I40"/>
    <mergeCell ref="J39:J40"/>
    <mergeCell ref="B38:J38"/>
  </mergeCells>
  <phoneticPr fontId="0" type="noConversion"/>
  <conditionalFormatting sqref="A68:A65536 A1:A66 B1:IV1048576">
    <cfRule type="cellIs" dxfId="31" priority="1" stopIfTrue="1" operator="equal">
      <formula>".."</formula>
    </cfRule>
  </conditionalFormatting>
  <printOptions horizontalCentered="1"/>
  <pageMargins left="0.15748031496062992" right="0.11811023622047245" top="0.63" bottom="0.11811023622047245" header="0.1" footer="0"/>
  <pageSetup paperSize="9" orientation="landscape" blackAndWhite="1" r:id="rId1"/>
  <headerFooter alignWithMargins="0"/>
  <rowBreaks count="1" manualBreakCount="1">
    <brk id="35" max="16383" man="1"/>
  </rowBreaks>
</worksheet>
</file>

<file path=xl/worksheets/sheet24.xml><?xml version="1.0" encoding="utf-8"?>
<worksheet xmlns="http://schemas.openxmlformats.org/spreadsheetml/2006/main" xmlns:r="http://schemas.openxmlformats.org/officeDocument/2006/relationships">
  <sheetPr codeName="Sheet37"/>
  <dimension ref="A1:I65"/>
  <sheetViews>
    <sheetView workbookViewId="0">
      <selection activeCell="J11" sqref="J11"/>
    </sheetView>
  </sheetViews>
  <sheetFormatPr defaultRowHeight="12.4" customHeight="1"/>
  <cols>
    <col min="1" max="1" width="23.42578125" style="939" customWidth="1"/>
    <col min="2" max="2" width="12.7109375" style="939" customWidth="1"/>
    <col min="3" max="3" width="11.85546875" style="939" customWidth="1"/>
    <col min="4" max="4" width="9.85546875" style="939" customWidth="1"/>
    <col min="5" max="6" width="11" style="939" customWidth="1"/>
    <col min="7" max="7" width="12.140625" style="939" customWidth="1"/>
    <col min="8" max="8" width="11.28515625" style="939" customWidth="1"/>
    <col min="9" max="9" width="18.85546875" style="939" customWidth="1"/>
    <col min="10" max="16384" width="9.140625" style="939"/>
  </cols>
  <sheetData>
    <row r="1" spans="1:9" ht="13.5" customHeight="1">
      <c r="A1" s="1850" t="s">
        <v>1724</v>
      </c>
      <c r="B1" s="1850"/>
      <c r="C1" s="1850"/>
      <c r="D1" s="1850"/>
      <c r="E1" s="1850"/>
      <c r="F1" s="1850"/>
      <c r="G1" s="1850"/>
      <c r="H1" s="1850"/>
      <c r="I1" s="1850"/>
    </row>
    <row r="2" spans="1:9" ht="13.5" customHeight="1">
      <c r="A2" s="1851" t="str">
        <f>CONCATENATE("Family Welfare Centres in the district of South 24-Parganas")</f>
        <v>Family Welfare Centres in the district of South 24-Parganas</v>
      </c>
      <c r="B2" s="1851"/>
      <c r="C2" s="1851"/>
      <c r="D2" s="1851"/>
      <c r="E2" s="1851"/>
      <c r="F2" s="1851"/>
      <c r="G2" s="1851"/>
      <c r="H2" s="1851"/>
      <c r="I2" s="1851"/>
    </row>
    <row r="3" spans="1:9" ht="12.75" customHeight="1">
      <c r="C3" s="940"/>
      <c r="D3" s="940"/>
      <c r="E3" s="940"/>
      <c r="F3" s="940"/>
      <c r="G3" s="940"/>
      <c r="H3" s="940"/>
      <c r="I3" s="941" t="s">
        <v>977</v>
      </c>
    </row>
    <row r="4" spans="1:9" ht="14.25" customHeight="1">
      <c r="A4" s="1855" t="s">
        <v>671</v>
      </c>
      <c r="B4" s="1831" t="s">
        <v>552</v>
      </c>
      <c r="C4" s="1852" t="s">
        <v>1307</v>
      </c>
      <c r="D4" s="1853"/>
      <c r="E4" s="1854"/>
      <c r="F4" s="1852" t="s">
        <v>359</v>
      </c>
      <c r="G4" s="1853"/>
      <c r="H4" s="1853"/>
      <c r="I4" s="1854"/>
    </row>
    <row r="5" spans="1:9" ht="29.25" customHeight="1">
      <c r="A5" s="1856"/>
      <c r="B5" s="1833"/>
      <c r="C5" s="679" t="s">
        <v>1127</v>
      </c>
      <c r="D5" s="679" t="s">
        <v>1128</v>
      </c>
      <c r="E5" s="680" t="s">
        <v>958</v>
      </c>
      <c r="F5" s="1303" t="s">
        <v>1129</v>
      </c>
      <c r="G5" s="681" t="s">
        <v>1130</v>
      </c>
      <c r="H5" s="681" t="s">
        <v>1131</v>
      </c>
      <c r="I5" s="682" t="s">
        <v>363</v>
      </c>
    </row>
    <row r="6" spans="1:9" ht="14.1" customHeight="1">
      <c r="A6" s="683" t="s">
        <v>928</v>
      </c>
      <c r="B6" s="683" t="s">
        <v>929</v>
      </c>
      <c r="C6" s="683" t="s">
        <v>930</v>
      </c>
      <c r="D6" s="683" t="s">
        <v>931</v>
      </c>
      <c r="E6" s="683" t="s">
        <v>932</v>
      </c>
      <c r="F6" s="683" t="s">
        <v>933</v>
      </c>
      <c r="G6" s="684" t="s">
        <v>934</v>
      </c>
      <c r="H6" s="683" t="s">
        <v>959</v>
      </c>
      <c r="I6" s="683" t="s">
        <v>960</v>
      </c>
    </row>
    <row r="7" spans="1:9" ht="14.1" customHeight="1">
      <c r="A7" s="85" t="s">
        <v>1317</v>
      </c>
      <c r="B7" s="492">
        <v>1068</v>
      </c>
      <c r="C7" s="85">
        <v>36</v>
      </c>
      <c r="D7" s="85" t="s">
        <v>1229</v>
      </c>
      <c r="E7" s="85">
        <v>36</v>
      </c>
      <c r="F7" s="85">
        <v>2246</v>
      </c>
      <c r="G7" s="85">
        <v>4938</v>
      </c>
      <c r="H7" s="79">
        <v>6164</v>
      </c>
      <c r="I7" s="492">
        <v>876362</v>
      </c>
    </row>
    <row r="8" spans="1:9" ht="14.1" customHeight="1">
      <c r="A8" s="879" t="s">
        <v>221</v>
      </c>
      <c r="B8" s="492">
        <v>1068</v>
      </c>
      <c r="C8" s="85">
        <v>36</v>
      </c>
      <c r="D8" s="89" t="s">
        <v>1229</v>
      </c>
      <c r="E8" s="85">
        <v>36</v>
      </c>
      <c r="F8" s="89">
        <v>2376</v>
      </c>
      <c r="G8" s="89">
        <v>5064</v>
      </c>
      <c r="H8" s="89">
        <v>4794</v>
      </c>
      <c r="I8" s="492">
        <v>778764</v>
      </c>
    </row>
    <row r="9" spans="1:9" ht="14.1" customHeight="1">
      <c r="A9" s="85" t="s">
        <v>1301</v>
      </c>
      <c r="B9" s="492">
        <v>1068</v>
      </c>
      <c r="C9" s="85">
        <v>36</v>
      </c>
      <c r="D9" s="492" t="s">
        <v>1229</v>
      </c>
      <c r="E9" s="85">
        <v>36</v>
      </c>
      <c r="F9" s="85">
        <v>432</v>
      </c>
      <c r="G9" s="85">
        <v>5369</v>
      </c>
      <c r="H9" s="79">
        <v>7964</v>
      </c>
      <c r="I9" s="492">
        <v>723020</v>
      </c>
    </row>
    <row r="10" spans="1:9" ht="14.1" customHeight="1">
      <c r="A10" s="85" t="s">
        <v>621</v>
      </c>
      <c r="B10" s="492">
        <v>1068</v>
      </c>
      <c r="C10" s="85">
        <v>36</v>
      </c>
      <c r="D10" s="1329" t="s">
        <v>1229</v>
      </c>
      <c r="E10" s="85">
        <v>36</v>
      </c>
      <c r="F10" s="89">
        <v>134</v>
      </c>
      <c r="G10" s="89">
        <v>4485</v>
      </c>
      <c r="H10" s="89">
        <v>10153</v>
      </c>
      <c r="I10" s="492">
        <v>76515</v>
      </c>
    </row>
    <row r="11" spans="1:9" ht="13.5" customHeight="1">
      <c r="A11" s="302" t="s">
        <v>206</v>
      </c>
      <c r="B11" s="492">
        <f>SUM(B13,B14,B23,B41,B46,B57)</f>
        <v>1068</v>
      </c>
      <c r="C11" s="492">
        <f>SUM(C13,C14,C23,C41,C46,C57)</f>
        <v>46</v>
      </c>
      <c r="D11" s="492" t="str">
        <f>IF(SUM(D13,D14,D23,D41,D46,D57)=0,"-",SUM(D13,D14,D23,D41,D46,D57))</f>
        <v>-</v>
      </c>
      <c r="E11" s="85">
        <f>SUM(C11:D11)</f>
        <v>46</v>
      </c>
      <c r="F11" s="492">
        <f>SUM(F13,F14,F23,F41,F46,F57)</f>
        <v>367</v>
      </c>
      <c r="G11" s="492">
        <f>SUM(G13,G14,G23,G41,G46,G57)</f>
        <v>7069</v>
      </c>
      <c r="H11" s="492">
        <f>SUM(H13,H14,H23,H41,H46,H57)</f>
        <v>7054</v>
      </c>
      <c r="I11" s="492">
        <f>SUM(I13,I14,I23,I41,I46,I57)</f>
        <v>86387</v>
      </c>
    </row>
    <row r="12" spans="1:9" ht="29.25" customHeight="1">
      <c r="A12" s="686" t="s">
        <v>1457</v>
      </c>
      <c r="B12" s="1857" t="str">
        <f>"Year : " &amp; A11</f>
        <v>Year : 2013-14</v>
      </c>
      <c r="C12" s="1858"/>
      <c r="D12" s="1858"/>
      <c r="E12" s="1858"/>
      <c r="F12" s="1858"/>
      <c r="G12" s="1858"/>
      <c r="H12" s="1858"/>
      <c r="I12" s="1859"/>
    </row>
    <row r="13" spans="1:9" ht="14.1" customHeight="1">
      <c r="A13" s="942" t="s">
        <v>1734</v>
      </c>
      <c r="B13" s="693" t="s">
        <v>1229</v>
      </c>
      <c r="C13" s="693">
        <v>6</v>
      </c>
      <c r="D13" s="192" t="s">
        <v>1229</v>
      </c>
      <c r="E13" s="693">
        <f>SUM(C13,D13)</f>
        <v>6</v>
      </c>
      <c r="F13" s="192">
        <v>2</v>
      </c>
      <c r="G13" s="170">
        <v>1087</v>
      </c>
      <c r="H13" s="192">
        <v>245</v>
      </c>
      <c r="I13" s="192">
        <v>1292</v>
      </c>
    </row>
    <row r="14" spans="1:9" ht="14.1" customHeight="1">
      <c r="A14" s="943" t="s">
        <v>24</v>
      </c>
      <c r="B14" s="192">
        <f>SUM(B15:B22)</f>
        <v>111</v>
      </c>
      <c r="C14" s="192">
        <f>SUM(C15:C22)</f>
        <v>10</v>
      </c>
      <c r="D14" s="192" t="s">
        <v>1229</v>
      </c>
      <c r="E14" s="192">
        <f>SUM(C14,D14)</f>
        <v>10</v>
      </c>
      <c r="F14" s="192">
        <f>SUM(F15:F22)</f>
        <v>2</v>
      </c>
      <c r="G14" s="192">
        <f>SUM(G15:G22)</f>
        <v>420</v>
      </c>
      <c r="H14" s="192">
        <f>SUM(H15:H22)</f>
        <v>686</v>
      </c>
      <c r="I14" s="192">
        <f>SUM(I15:I22)</f>
        <v>9869</v>
      </c>
    </row>
    <row r="15" spans="1:9" ht="14.1" customHeight="1">
      <c r="A15" s="944" t="s">
        <v>1737</v>
      </c>
      <c r="B15" s="85">
        <v>19</v>
      </c>
      <c r="C15" s="84">
        <v>1</v>
      </c>
      <c r="D15" s="192" t="s">
        <v>1229</v>
      </c>
      <c r="E15" s="492">
        <f t="shared" ref="E15:E20" si="0">IF(SUM(C15,D15)=0,"-",SUM(C15,D15))</f>
        <v>1</v>
      </c>
      <c r="F15" s="85" t="s">
        <v>1229</v>
      </c>
      <c r="G15" s="1558" t="s">
        <v>1229</v>
      </c>
      <c r="H15" s="89">
        <v>72</v>
      </c>
      <c r="I15" s="85">
        <v>1757</v>
      </c>
    </row>
    <row r="16" spans="1:9" ht="14.1" customHeight="1">
      <c r="A16" s="944" t="s">
        <v>1214</v>
      </c>
      <c r="B16" s="85">
        <v>28</v>
      </c>
      <c r="C16" s="84">
        <v>2</v>
      </c>
      <c r="D16" s="192" t="s">
        <v>1229</v>
      </c>
      <c r="E16" s="492">
        <f t="shared" si="0"/>
        <v>2</v>
      </c>
      <c r="F16" s="85">
        <v>1</v>
      </c>
      <c r="G16" s="79">
        <v>33</v>
      </c>
      <c r="H16" s="492">
        <v>206</v>
      </c>
      <c r="I16" s="85">
        <v>2416</v>
      </c>
    </row>
    <row r="17" spans="1:9" ht="14.1" customHeight="1">
      <c r="A17" s="944" t="s">
        <v>1211</v>
      </c>
      <c r="B17" s="85">
        <v>26</v>
      </c>
      <c r="C17" s="84">
        <v>1</v>
      </c>
      <c r="D17" s="192" t="s">
        <v>1229</v>
      </c>
      <c r="E17" s="492">
        <f t="shared" si="0"/>
        <v>1</v>
      </c>
      <c r="F17" s="85" t="s">
        <v>1229</v>
      </c>
      <c r="G17" s="79">
        <v>90</v>
      </c>
      <c r="H17" s="85">
        <v>226</v>
      </c>
      <c r="I17" s="85">
        <v>2130</v>
      </c>
    </row>
    <row r="18" spans="1:9" ht="14.1" customHeight="1">
      <c r="A18" s="944" t="s">
        <v>1212</v>
      </c>
      <c r="B18" s="85">
        <v>14</v>
      </c>
      <c r="C18" s="373">
        <v>1</v>
      </c>
      <c r="D18" s="192" t="s">
        <v>1229</v>
      </c>
      <c r="E18" s="492">
        <f t="shared" si="0"/>
        <v>1</v>
      </c>
      <c r="F18" s="393" t="s">
        <v>1229</v>
      </c>
      <c r="G18" s="393">
        <v>134</v>
      </c>
      <c r="H18" s="878">
        <v>74</v>
      </c>
      <c r="I18" s="878">
        <v>1573</v>
      </c>
    </row>
    <row r="19" spans="1:9" ht="14.1" customHeight="1">
      <c r="A19" s="944" t="s">
        <v>1213</v>
      </c>
      <c r="B19" s="85">
        <v>24</v>
      </c>
      <c r="C19" s="84">
        <v>1</v>
      </c>
      <c r="D19" s="85" t="s">
        <v>1229</v>
      </c>
      <c r="E19" s="492">
        <f t="shared" si="0"/>
        <v>1</v>
      </c>
      <c r="F19" s="85">
        <v>1</v>
      </c>
      <c r="G19" s="79">
        <v>82</v>
      </c>
      <c r="H19" s="85">
        <v>108</v>
      </c>
      <c r="I19" s="85">
        <v>1993</v>
      </c>
    </row>
    <row r="20" spans="1:9" ht="14.1" customHeight="1">
      <c r="A20" s="944" t="s">
        <v>1738</v>
      </c>
      <c r="B20" s="85" t="s">
        <v>1229</v>
      </c>
      <c r="C20" s="1556">
        <v>2</v>
      </c>
      <c r="D20" s="85" t="s">
        <v>1229</v>
      </c>
      <c r="E20" s="492">
        <f t="shared" si="0"/>
        <v>2</v>
      </c>
      <c r="F20" s="85" t="s">
        <v>1229</v>
      </c>
      <c r="G20" s="85">
        <v>81</v>
      </c>
      <c r="H20" s="85" t="s">
        <v>1229</v>
      </c>
      <c r="I20" s="85" t="s">
        <v>1229</v>
      </c>
    </row>
    <row r="21" spans="1:9" ht="14.1" customHeight="1">
      <c r="A21" s="944" t="s">
        <v>1739</v>
      </c>
      <c r="B21" s="685" t="s">
        <v>1229</v>
      </c>
      <c r="C21" s="685">
        <v>1</v>
      </c>
      <c r="D21" s="685" t="s">
        <v>1229</v>
      </c>
      <c r="E21" s="492">
        <f>IF(SUM(C21,D21)=0,"-",SUM(C21,D21))</f>
        <v>1</v>
      </c>
      <c r="F21" s="685" t="s">
        <v>1229</v>
      </c>
      <c r="G21" s="1557" t="s">
        <v>1229</v>
      </c>
      <c r="H21" s="85" t="s">
        <v>857</v>
      </c>
      <c r="I21" s="85" t="s">
        <v>1229</v>
      </c>
    </row>
    <row r="22" spans="1:9" ht="14.1" customHeight="1">
      <c r="A22" s="944" t="s">
        <v>1740</v>
      </c>
      <c r="B22" s="85" t="s">
        <v>1229</v>
      </c>
      <c r="C22" s="1556">
        <v>1</v>
      </c>
      <c r="D22" s="685" t="s">
        <v>1229</v>
      </c>
      <c r="E22" s="492">
        <f>IF(SUM(C22,D22)=0,"-",SUM(C22,D22))</f>
        <v>1</v>
      </c>
      <c r="F22" s="85" t="s">
        <v>1229</v>
      </c>
      <c r="G22" s="85" t="s">
        <v>1229</v>
      </c>
      <c r="H22" s="85" t="s">
        <v>1229</v>
      </c>
      <c r="I22" s="85" t="s">
        <v>1229</v>
      </c>
    </row>
    <row r="23" spans="1:9" ht="14.1" customHeight="1">
      <c r="A23" s="943" t="s">
        <v>314</v>
      </c>
      <c r="B23" s="192">
        <f>SUM(B24:B33)</f>
        <v>267</v>
      </c>
      <c r="C23" s="192">
        <f>SUM(C24:C33)</f>
        <v>10</v>
      </c>
      <c r="D23" s="685" t="s">
        <v>1229</v>
      </c>
      <c r="E23" s="192">
        <f>SUM(C23,D23)</f>
        <v>10</v>
      </c>
      <c r="F23" s="192">
        <f>SUM(F24:F33)</f>
        <v>312</v>
      </c>
      <c r="G23" s="192">
        <f>SUM(G24:G33)</f>
        <v>1736</v>
      </c>
      <c r="H23" s="192">
        <f>SUM(H24:H33)</f>
        <v>2383</v>
      </c>
      <c r="I23" s="192">
        <f>SUM(I24:I33)</f>
        <v>20358</v>
      </c>
    </row>
    <row r="24" spans="1:9" ht="14.1" customHeight="1">
      <c r="A24" s="944" t="s">
        <v>1218</v>
      </c>
      <c r="B24" s="85">
        <v>23</v>
      </c>
      <c r="C24" s="84">
        <v>1</v>
      </c>
      <c r="D24" s="685" t="s">
        <v>1229</v>
      </c>
      <c r="E24" s="492">
        <f t="shared" ref="E24:E33" si="1">IF(SUM(C24,D24)=0,"-",SUM(C24,D24))</f>
        <v>1</v>
      </c>
      <c r="F24" s="85">
        <v>293</v>
      </c>
      <c r="G24" s="79">
        <v>516</v>
      </c>
      <c r="H24" s="85">
        <v>286</v>
      </c>
      <c r="I24" s="85">
        <v>1759</v>
      </c>
    </row>
    <row r="25" spans="1:9" ht="14.1" customHeight="1">
      <c r="A25" s="944" t="s">
        <v>759</v>
      </c>
      <c r="B25" s="85">
        <v>50</v>
      </c>
      <c r="C25" s="84">
        <v>1</v>
      </c>
      <c r="D25" s="685" t="s">
        <v>1229</v>
      </c>
      <c r="E25" s="492">
        <f t="shared" si="1"/>
        <v>1</v>
      </c>
      <c r="F25" s="85" t="s">
        <v>1229</v>
      </c>
      <c r="G25" s="687">
        <v>127</v>
      </c>
      <c r="H25" s="85">
        <v>257</v>
      </c>
      <c r="I25" s="85">
        <v>2442</v>
      </c>
    </row>
    <row r="26" spans="1:9" ht="14.1" customHeight="1">
      <c r="A26" s="944" t="s">
        <v>760</v>
      </c>
      <c r="B26" s="85">
        <v>47</v>
      </c>
      <c r="C26" s="84">
        <v>1</v>
      </c>
      <c r="D26" s="685" t="s">
        <v>1229</v>
      </c>
      <c r="E26" s="492">
        <f t="shared" si="1"/>
        <v>1</v>
      </c>
      <c r="F26" s="85" t="s">
        <v>1229</v>
      </c>
      <c r="G26" s="687">
        <v>194</v>
      </c>
      <c r="H26" s="85">
        <v>279</v>
      </c>
      <c r="I26" s="85">
        <v>2243</v>
      </c>
    </row>
    <row r="27" spans="1:9" ht="14.1" customHeight="1">
      <c r="A27" s="944" t="s">
        <v>1194</v>
      </c>
      <c r="B27" s="85">
        <v>43</v>
      </c>
      <c r="C27" s="1556">
        <v>1</v>
      </c>
      <c r="D27" s="685" t="s">
        <v>1229</v>
      </c>
      <c r="E27" s="492">
        <f t="shared" si="1"/>
        <v>1</v>
      </c>
      <c r="F27" s="85" t="s">
        <v>1229</v>
      </c>
      <c r="G27" s="1557" t="s">
        <v>1229</v>
      </c>
      <c r="H27" s="492">
        <v>612</v>
      </c>
      <c r="I27" s="492">
        <v>3232</v>
      </c>
    </row>
    <row r="28" spans="1:9" ht="14.1" customHeight="1">
      <c r="A28" s="944" t="s">
        <v>1221</v>
      </c>
      <c r="B28" s="85">
        <v>48</v>
      </c>
      <c r="C28" s="1593">
        <v>1</v>
      </c>
      <c r="D28" s="685" t="s">
        <v>1229</v>
      </c>
      <c r="E28" s="492">
        <v>1</v>
      </c>
      <c r="F28" s="85">
        <v>10</v>
      </c>
      <c r="G28" s="79">
        <v>242</v>
      </c>
      <c r="H28" s="85">
        <v>506</v>
      </c>
      <c r="I28" s="85">
        <v>3520</v>
      </c>
    </row>
    <row r="29" spans="1:9" ht="14.1" customHeight="1">
      <c r="A29" s="944" t="s">
        <v>761</v>
      </c>
      <c r="B29" s="85">
        <v>28</v>
      </c>
      <c r="C29" s="84">
        <v>1</v>
      </c>
      <c r="D29" s="685" t="s">
        <v>1229</v>
      </c>
      <c r="E29" s="492">
        <f t="shared" si="1"/>
        <v>1</v>
      </c>
      <c r="F29" s="85">
        <v>9</v>
      </c>
      <c r="G29" s="687">
        <v>281</v>
      </c>
      <c r="H29" s="85">
        <v>239</v>
      </c>
      <c r="I29" s="85">
        <v>2008</v>
      </c>
    </row>
    <row r="30" spans="1:9" ht="14.1" customHeight="1">
      <c r="A30" s="944" t="s">
        <v>762</v>
      </c>
      <c r="B30" s="85">
        <v>28</v>
      </c>
      <c r="C30" s="84">
        <v>1</v>
      </c>
      <c r="D30" s="685" t="s">
        <v>1229</v>
      </c>
      <c r="E30" s="492">
        <f t="shared" si="1"/>
        <v>1</v>
      </c>
      <c r="F30" s="85" t="s">
        <v>1229</v>
      </c>
      <c r="G30" s="79">
        <v>254</v>
      </c>
      <c r="H30" s="85">
        <v>200</v>
      </c>
      <c r="I30" s="85">
        <v>2025</v>
      </c>
    </row>
    <row r="31" spans="1:9" ht="14.1" customHeight="1">
      <c r="A31" s="944" t="s">
        <v>1741</v>
      </c>
      <c r="B31" s="685" t="s">
        <v>1229</v>
      </c>
      <c r="C31" s="685">
        <v>1</v>
      </c>
      <c r="D31" s="685" t="s">
        <v>1229</v>
      </c>
      <c r="E31" s="492">
        <f t="shared" si="1"/>
        <v>1</v>
      </c>
      <c r="F31" s="685" t="s">
        <v>1229</v>
      </c>
      <c r="G31" s="1557" t="s">
        <v>1229</v>
      </c>
      <c r="H31" s="85">
        <v>4</v>
      </c>
      <c r="I31" s="85">
        <v>58</v>
      </c>
    </row>
    <row r="32" spans="1:9" ht="14.1" customHeight="1">
      <c r="A32" s="944" t="s">
        <v>1742</v>
      </c>
      <c r="B32" s="85" t="s">
        <v>1229</v>
      </c>
      <c r="C32" s="84">
        <v>1</v>
      </c>
      <c r="D32" s="685" t="s">
        <v>1229</v>
      </c>
      <c r="E32" s="492">
        <f t="shared" si="1"/>
        <v>1</v>
      </c>
      <c r="F32" s="85" t="s">
        <v>1229</v>
      </c>
      <c r="G32" s="79">
        <v>119</v>
      </c>
      <c r="H32" s="85" t="s">
        <v>1229</v>
      </c>
      <c r="I32" s="85">
        <v>179</v>
      </c>
    </row>
    <row r="33" spans="1:9" ht="14.1" customHeight="1">
      <c r="A33" s="945" t="s">
        <v>1743</v>
      </c>
      <c r="B33" s="302" t="s">
        <v>1229</v>
      </c>
      <c r="C33" s="1559">
        <v>1</v>
      </c>
      <c r="D33" s="695" t="s">
        <v>1229</v>
      </c>
      <c r="E33" s="688">
        <f t="shared" si="1"/>
        <v>1</v>
      </c>
      <c r="F33" s="441" t="s">
        <v>1229</v>
      </c>
      <c r="G33" s="441">
        <v>3</v>
      </c>
      <c r="H33" s="441" t="s">
        <v>1229</v>
      </c>
      <c r="I33" s="441">
        <v>2892</v>
      </c>
    </row>
    <row r="34" spans="1:9" ht="14.1" customHeight="1">
      <c r="A34" s="946"/>
      <c r="B34" s="79"/>
      <c r="C34" s="79"/>
      <c r="D34" s="740"/>
      <c r="E34" s="79"/>
      <c r="F34" s="79"/>
      <c r="G34" s="687"/>
      <c r="H34" s="79"/>
      <c r="I34" s="1187" t="s">
        <v>678</v>
      </c>
    </row>
    <row r="35" spans="1:9" ht="14.1" customHeight="1">
      <c r="A35" s="946"/>
      <c r="B35" s="79"/>
      <c r="C35" s="79"/>
      <c r="D35" s="740"/>
      <c r="E35" s="79"/>
      <c r="F35" s="79"/>
      <c r="G35" s="687"/>
      <c r="H35" s="79"/>
      <c r="I35" s="79"/>
    </row>
    <row r="36" spans="1:9" ht="13.5" customHeight="1">
      <c r="A36" s="1850" t="s">
        <v>571</v>
      </c>
      <c r="B36" s="1850"/>
      <c r="C36" s="1850"/>
      <c r="D36" s="1850"/>
      <c r="E36" s="1850"/>
      <c r="F36" s="1850"/>
      <c r="G36" s="1850"/>
      <c r="H36" s="1850"/>
      <c r="I36" s="1850"/>
    </row>
    <row r="37" spans="1:9" ht="12.75" customHeight="1">
      <c r="C37" s="940"/>
      <c r="D37" s="940"/>
      <c r="E37" s="940"/>
      <c r="F37" s="940"/>
      <c r="G37" s="940"/>
      <c r="H37" s="940"/>
      <c r="I37" s="941" t="s">
        <v>977</v>
      </c>
    </row>
    <row r="38" spans="1:9" ht="14.25" customHeight="1">
      <c r="A38" s="1855" t="s">
        <v>1457</v>
      </c>
      <c r="B38" s="1831" t="s">
        <v>552</v>
      </c>
      <c r="C38" s="1852" t="s">
        <v>1307</v>
      </c>
      <c r="D38" s="1853"/>
      <c r="E38" s="1854"/>
      <c r="F38" s="1852" t="s">
        <v>359</v>
      </c>
      <c r="G38" s="1853"/>
      <c r="H38" s="1853"/>
      <c r="I38" s="1854"/>
    </row>
    <row r="39" spans="1:9" ht="30.75" customHeight="1">
      <c r="A39" s="1856"/>
      <c r="B39" s="1833"/>
      <c r="C39" s="679" t="s">
        <v>1127</v>
      </c>
      <c r="D39" s="679" t="s">
        <v>1128</v>
      </c>
      <c r="E39" s="680" t="s">
        <v>958</v>
      </c>
      <c r="F39" s="1303" t="s">
        <v>1129</v>
      </c>
      <c r="G39" s="681" t="s">
        <v>1130</v>
      </c>
      <c r="H39" s="681" t="s">
        <v>1131</v>
      </c>
      <c r="I39" s="682" t="s">
        <v>363</v>
      </c>
    </row>
    <row r="40" spans="1:9" ht="14.1" customHeight="1">
      <c r="A40" s="683" t="s">
        <v>928</v>
      </c>
      <c r="B40" s="683" t="s">
        <v>929</v>
      </c>
      <c r="C40" s="683" t="s">
        <v>930</v>
      </c>
      <c r="D40" s="683" t="s">
        <v>931</v>
      </c>
      <c r="E40" s="683" t="s">
        <v>932</v>
      </c>
      <c r="F40" s="683" t="s">
        <v>933</v>
      </c>
      <c r="G40" s="684" t="s">
        <v>934</v>
      </c>
      <c r="H40" s="683" t="s">
        <v>959</v>
      </c>
      <c r="I40" s="683" t="s">
        <v>960</v>
      </c>
    </row>
    <row r="41" spans="1:9" ht="16.5" customHeight="1">
      <c r="A41" s="943" t="s">
        <v>315</v>
      </c>
      <c r="B41" s="192">
        <f>SUM(B42:B45)</f>
        <v>215</v>
      </c>
      <c r="C41" s="192">
        <f>SUM(C42:C45)</f>
        <v>5</v>
      </c>
      <c r="D41" s="492" t="str">
        <f>IF(SUM(D43,D44,D53,D71,D76,D87)=0,"-",SUM(D43,D44,D53,D71,D76,D87))</f>
        <v>-</v>
      </c>
      <c r="E41" s="192">
        <v>5</v>
      </c>
      <c r="F41" s="192">
        <v>3</v>
      </c>
      <c r="G41" s="192">
        <v>1324</v>
      </c>
      <c r="H41" s="192">
        <v>841</v>
      </c>
      <c r="I41" s="192">
        <v>9918</v>
      </c>
    </row>
    <row r="42" spans="1:9" ht="16.5" customHeight="1">
      <c r="A42" s="944" t="s">
        <v>1223</v>
      </c>
      <c r="B42" s="85">
        <v>56</v>
      </c>
      <c r="C42" s="1556">
        <v>2</v>
      </c>
      <c r="D42" s="303" t="s">
        <v>1229</v>
      </c>
      <c r="E42" s="492">
        <v>2</v>
      </c>
      <c r="F42" s="85">
        <v>1</v>
      </c>
      <c r="G42" s="79">
        <v>447</v>
      </c>
      <c r="H42" s="85">
        <v>322</v>
      </c>
      <c r="I42" s="85">
        <v>2622</v>
      </c>
    </row>
    <row r="43" spans="1:9" ht="16.5" customHeight="1">
      <c r="A43" s="944" t="s">
        <v>1224</v>
      </c>
      <c r="B43" s="85">
        <v>45</v>
      </c>
      <c r="C43" s="84">
        <v>1</v>
      </c>
      <c r="D43" s="303" t="s">
        <v>1229</v>
      </c>
      <c r="E43" s="492">
        <f>IF(SUM(C43,D43)=0,"-",SUM(C43,D43))</f>
        <v>1</v>
      </c>
      <c r="F43" s="85" t="s">
        <v>1229</v>
      </c>
      <c r="G43" s="79">
        <v>287</v>
      </c>
      <c r="H43" s="85">
        <v>148</v>
      </c>
      <c r="I43" s="85">
        <v>1542</v>
      </c>
    </row>
    <row r="44" spans="1:9" ht="16.5" customHeight="1">
      <c r="A44" s="944" t="s">
        <v>1197</v>
      </c>
      <c r="B44" s="85">
        <v>63</v>
      </c>
      <c r="C44" s="84">
        <v>1</v>
      </c>
      <c r="D44" s="303" t="s">
        <v>1229</v>
      </c>
      <c r="E44" s="492">
        <f>IF(SUM(C44,D44)=0,"-",SUM(C44,D44))</f>
        <v>1</v>
      </c>
      <c r="F44" s="85">
        <v>1</v>
      </c>
      <c r="G44" s="687">
        <v>412</v>
      </c>
      <c r="H44" s="85">
        <v>105</v>
      </c>
      <c r="I44" s="85">
        <v>3849</v>
      </c>
    </row>
    <row r="45" spans="1:9" ht="16.5" customHeight="1">
      <c r="A45" s="944" t="s">
        <v>1198</v>
      </c>
      <c r="B45" s="85">
        <v>51</v>
      </c>
      <c r="C45" s="84">
        <v>1</v>
      </c>
      <c r="D45" s="303" t="s">
        <v>1229</v>
      </c>
      <c r="E45" s="492">
        <f>IF(SUM(C45,D45)=0,"-",SUM(C45,D45))</f>
        <v>1</v>
      </c>
      <c r="F45" s="85">
        <v>1</v>
      </c>
      <c r="G45" s="687">
        <v>178</v>
      </c>
      <c r="H45" s="85">
        <v>266</v>
      </c>
      <c r="I45" s="85">
        <v>1905</v>
      </c>
    </row>
    <row r="46" spans="1:9" ht="16.5" customHeight="1">
      <c r="A46" s="943" t="s">
        <v>25</v>
      </c>
      <c r="B46" s="192">
        <f>SUM(B47:B56)</f>
        <v>277</v>
      </c>
      <c r="C46" s="192">
        <f>SUM(C47:C56)</f>
        <v>10</v>
      </c>
      <c r="D46" s="1001" t="s">
        <v>1229</v>
      </c>
      <c r="E46" s="192">
        <f>SUM(C46,D46)</f>
        <v>10</v>
      </c>
      <c r="F46" s="192">
        <f>SUM(F47:F56)</f>
        <v>21</v>
      </c>
      <c r="G46" s="192">
        <f>SUM(G47:G56)</f>
        <v>1245</v>
      </c>
      <c r="H46" s="192">
        <f>SUM(H47:H56)</f>
        <v>2137</v>
      </c>
      <c r="I46" s="192">
        <f>SUM(I47:I56)</f>
        <v>36214</v>
      </c>
    </row>
    <row r="47" spans="1:9" ht="16.5" customHeight="1">
      <c r="A47" s="944" t="s">
        <v>1225</v>
      </c>
      <c r="B47" s="85">
        <v>31</v>
      </c>
      <c r="C47" s="84">
        <v>1</v>
      </c>
      <c r="D47" s="303" t="s">
        <v>1229</v>
      </c>
      <c r="E47" s="492">
        <f t="shared" ref="E47:E56" si="2">IF(SUM(C47,D47)=0,"-",SUM(C47,D47))</f>
        <v>1</v>
      </c>
      <c r="F47" s="85" t="s">
        <v>1229</v>
      </c>
      <c r="G47" s="1557" t="s">
        <v>1229</v>
      </c>
      <c r="H47" s="85">
        <v>164</v>
      </c>
      <c r="I47" s="85">
        <v>3540</v>
      </c>
    </row>
    <row r="48" spans="1:9" ht="16.5" customHeight="1">
      <c r="A48" s="944" t="s">
        <v>1226</v>
      </c>
      <c r="B48" s="85">
        <v>36</v>
      </c>
      <c r="C48" s="84">
        <v>1</v>
      </c>
      <c r="D48" s="303" t="s">
        <v>1229</v>
      </c>
      <c r="E48" s="492">
        <f t="shared" si="2"/>
        <v>1</v>
      </c>
      <c r="F48" s="85" t="s">
        <v>1229</v>
      </c>
      <c r="G48" s="79">
        <v>118</v>
      </c>
      <c r="H48" s="85">
        <v>118</v>
      </c>
      <c r="I48" s="85">
        <v>2550</v>
      </c>
    </row>
    <row r="49" spans="1:9" ht="16.5" customHeight="1">
      <c r="A49" s="944" t="s">
        <v>837</v>
      </c>
      <c r="B49" s="85">
        <v>25</v>
      </c>
      <c r="C49" s="84">
        <v>1</v>
      </c>
      <c r="D49" s="303" t="s">
        <v>1229</v>
      </c>
      <c r="E49" s="492">
        <f t="shared" si="2"/>
        <v>1</v>
      </c>
      <c r="F49" s="85" t="s">
        <v>1229</v>
      </c>
      <c r="G49" s="79">
        <v>56</v>
      </c>
      <c r="H49" s="85">
        <v>65</v>
      </c>
      <c r="I49" s="85">
        <v>3119</v>
      </c>
    </row>
    <row r="50" spans="1:9" ht="16.5" customHeight="1">
      <c r="A50" s="944" t="s">
        <v>1203</v>
      </c>
      <c r="B50" s="85">
        <v>33</v>
      </c>
      <c r="C50" s="84">
        <v>1</v>
      </c>
      <c r="D50" s="303" t="s">
        <v>1229</v>
      </c>
      <c r="E50" s="492">
        <f t="shared" si="2"/>
        <v>1</v>
      </c>
      <c r="F50" s="492">
        <v>8</v>
      </c>
      <c r="G50" s="79">
        <v>240</v>
      </c>
      <c r="H50" s="85">
        <v>427</v>
      </c>
      <c r="I50" s="85">
        <v>3096</v>
      </c>
    </row>
    <row r="51" spans="1:9" ht="16.5" customHeight="1">
      <c r="A51" s="944" t="s">
        <v>1204</v>
      </c>
      <c r="B51" s="85">
        <v>30</v>
      </c>
      <c r="C51" s="84">
        <v>1</v>
      </c>
      <c r="D51" s="303" t="s">
        <v>1229</v>
      </c>
      <c r="E51" s="492">
        <f t="shared" si="2"/>
        <v>1</v>
      </c>
      <c r="F51" s="492">
        <v>5</v>
      </c>
      <c r="G51" s="1557" t="s">
        <v>1229</v>
      </c>
      <c r="H51" s="85">
        <v>359</v>
      </c>
      <c r="I51" s="85">
        <v>5403</v>
      </c>
    </row>
    <row r="52" spans="1:9" ht="16.5" customHeight="1">
      <c r="A52" s="944" t="s">
        <v>1744</v>
      </c>
      <c r="B52" s="85">
        <v>18</v>
      </c>
      <c r="C52" s="84">
        <v>1</v>
      </c>
      <c r="D52" s="303" t="s">
        <v>1229</v>
      </c>
      <c r="E52" s="492">
        <f t="shared" si="2"/>
        <v>1</v>
      </c>
      <c r="F52" s="85" t="s">
        <v>1229</v>
      </c>
      <c r="G52" s="687">
        <v>83</v>
      </c>
      <c r="H52" s="85">
        <v>192</v>
      </c>
      <c r="I52" s="85">
        <v>8422</v>
      </c>
    </row>
    <row r="53" spans="1:9" ht="16.5" customHeight="1">
      <c r="A53" s="944" t="s">
        <v>1745</v>
      </c>
      <c r="B53" s="85">
        <v>22</v>
      </c>
      <c r="C53" s="84">
        <v>1</v>
      </c>
      <c r="D53" s="303" t="s">
        <v>1229</v>
      </c>
      <c r="E53" s="492">
        <f t="shared" si="2"/>
        <v>1</v>
      </c>
      <c r="F53" s="492">
        <v>8</v>
      </c>
      <c r="G53" s="687">
        <v>27</v>
      </c>
      <c r="H53" s="85">
        <v>209</v>
      </c>
      <c r="I53" s="85">
        <v>2667</v>
      </c>
    </row>
    <row r="54" spans="1:9" ht="16.5" customHeight="1">
      <c r="A54" s="944" t="s">
        <v>1227</v>
      </c>
      <c r="B54" s="85">
        <v>37</v>
      </c>
      <c r="C54" s="84">
        <v>1</v>
      </c>
      <c r="D54" s="303" t="s">
        <v>1229</v>
      </c>
      <c r="E54" s="492">
        <f t="shared" si="2"/>
        <v>1</v>
      </c>
      <c r="F54" s="85" t="s">
        <v>1229</v>
      </c>
      <c r="G54" s="687">
        <v>101</v>
      </c>
      <c r="H54" s="85">
        <v>379</v>
      </c>
      <c r="I54" s="85">
        <v>3296</v>
      </c>
    </row>
    <row r="55" spans="1:9" ht="16.5" customHeight="1">
      <c r="A55" s="944" t="s">
        <v>1228</v>
      </c>
      <c r="B55" s="85">
        <v>45</v>
      </c>
      <c r="C55" s="84">
        <v>1</v>
      </c>
      <c r="D55" s="303" t="s">
        <v>1229</v>
      </c>
      <c r="E55" s="492">
        <f t="shared" si="2"/>
        <v>1</v>
      </c>
      <c r="F55" s="85" t="s">
        <v>1229</v>
      </c>
      <c r="G55" s="79">
        <v>92</v>
      </c>
      <c r="H55" s="85">
        <v>210</v>
      </c>
      <c r="I55" s="85">
        <v>3993</v>
      </c>
    </row>
    <row r="56" spans="1:9" ht="16.5" customHeight="1">
      <c r="A56" s="944" t="s">
        <v>838</v>
      </c>
      <c r="B56" s="85" t="s">
        <v>1229</v>
      </c>
      <c r="C56" s="84">
        <v>1</v>
      </c>
      <c r="D56" s="303" t="s">
        <v>1229</v>
      </c>
      <c r="E56" s="492">
        <f t="shared" si="2"/>
        <v>1</v>
      </c>
      <c r="F56" s="85" t="s">
        <v>1229</v>
      </c>
      <c r="G56" s="85">
        <v>528</v>
      </c>
      <c r="H56" s="85">
        <v>14</v>
      </c>
      <c r="I56" s="85">
        <v>128</v>
      </c>
    </row>
    <row r="57" spans="1:9" ht="16.5" customHeight="1">
      <c r="A57" s="947" t="s">
        <v>317</v>
      </c>
      <c r="B57" s="192">
        <f>SUM(B58:B61)</f>
        <v>198</v>
      </c>
      <c r="C57" s="192">
        <f>SUM(C58:C61)</f>
        <v>5</v>
      </c>
      <c r="D57" s="1001" t="s">
        <v>1229</v>
      </c>
      <c r="E57" s="192">
        <f>SUM(C57,D57)</f>
        <v>5</v>
      </c>
      <c r="F57" s="192">
        <f>SUM(F58:F65)</f>
        <v>27</v>
      </c>
      <c r="G57" s="192">
        <f>SUM(G58:G61)</f>
        <v>1257</v>
      </c>
      <c r="H57" s="192">
        <f>SUM(H58:H61)</f>
        <v>762</v>
      </c>
      <c r="I57" s="192">
        <f>SUM(I58:I61)</f>
        <v>8736</v>
      </c>
    </row>
    <row r="58" spans="1:9" ht="16.5" customHeight="1">
      <c r="A58" s="944" t="s">
        <v>1205</v>
      </c>
      <c r="B58" s="85">
        <v>54</v>
      </c>
      <c r="C58" s="1556">
        <v>2</v>
      </c>
      <c r="D58" s="303" t="s">
        <v>1229</v>
      </c>
      <c r="E58" s="492">
        <v>2</v>
      </c>
      <c r="F58" s="85">
        <v>5</v>
      </c>
      <c r="G58" s="79">
        <v>712</v>
      </c>
      <c r="H58" s="85">
        <v>202</v>
      </c>
      <c r="I58" s="85">
        <v>2687</v>
      </c>
    </row>
    <row r="59" spans="1:9" ht="16.5" customHeight="1">
      <c r="A59" s="944" t="s">
        <v>1206</v>
      </c>
      <c r="B59" s="85">
        <v>37</v>
      </c>
      <c r="C59" s="84">
        <v>1</v>
      </c>
      <c r="D59" s="303" t="s">
        <v>1229</v>
      </c>
      <c r="E59" s="492">
        <f>IF(SUM(C59,D59)=0,"-",SUM(C59,D59))</f>
        <v>1</v>
      </c>
      <c r="F59" s="85">
        <v>16</v>
      </c>
      <c r="G59" s="687">
        <v>260</v>
      </c>
      <c r="H59" s="85">
        <v>253</v>
      </c>
      <c r="I59" s="85">
        <v>1473</v>
      </c>
    </row>
    <row r="60" spans="1:9" ht="16.5" customHeight="1">
      <c r="A60" s="944" t="s">
        <v>1207</v>
      </c>
      <c r="B60" s="85">
        <v>42</v>
      </c>
      <c r="C60" s="84">
        <v>1</v>
      </c>
      <c r="D60" s="303" t="s">
        <v>1229</v>
      </c>
      <c r="E60" s="492">
        <f>IF(SUM(C60,D60)=0,"-",SUM(C60,D60))</f>
        <v>1</v>
      </c>
      <c r="F60" s="492">
        <v>6</v>
      </c>
      <c r="G60" s="79">
        <v>119</v>
      </c>
      <c r="H60" s="85">
        <v>210</v>
      </c>
      <c r="I60" s="85">
        <v>1945</v>
      </c>
    </row>
    <row r="61" spans="1:9" ht="16.5" customHeight="1">
      <c r="A61" s="945" t="s">
        <v>1208</v>
      </c>
      <c r="B61" s="302">
        <v>65</v>
      </c>
      <c r="C61" s="302">
        <v>1</v>
      </c>
      <c r="D61" s="1363" t="s">
        <v>1229</v>
      </c>
      <c r="E61" s="688">
        <f>IF(SUM(C61,D61)=0,"-",SUM(C61,D61))</f>
        <v>1</v>
      </c>
      <c r="F61" s="302" t="s">
        <v>1229</v>
      </c>
      <c r="G61" s="263">
        <v>166</v>
      </c>
      <c r="H61" s="302">
        <v>97</v>
      </c>
      <c r="I61" s="302">
        <v>2631</v>
      </c>
    </row>
    <row r="62" spans="1:9" ht="14.25" customHeight="1">
      <c r="A62" s="948"/>
      <c r="C62" s="949"/>
      <c r="D62" s="950"/>
      <c r="E62" s="1206" t="s">
        <v>570</v>
      </c>
      <c r="F62" s="1207" t="s">
        <v>549</v>
      </c>
      <c r="I62" s="938"/>
    </row>
    <row r="63" spans="1:9" ht="11.25" customHeight="1">
      <c r="A63" s="1172" t="s">
        <v>1933</v>
      </c>
      <c r="B63" s="951"/>
      <c r="C63" s="951"/>
      <c r="D63" s="952"/>
      <c r="E63" s="1206" t="s">
        <v>615</v>
      </c>
      <c r="F63" s="1207" t="s">
        <v>550</v>
      </c>
      <c r="H63" s="938"/>
      <c r="I63" s="938"/>
    </row>
    <row r="64" spans="1:9" ht="12.4" customHeight="1">
      <c r="A64" s="1172" t="s">
        <v>1934</v>
      </c>
    </row>
    <row r="65" spans="1:1" ht="12.4" customHeight="1">
      <c r="A65" s="1172" t="s">
        <v>1935</v>
      </c>
    </row>
  </sheetData>
  <mergeCells count="12">
    <mergeCell ref="B12:I12"/>
    <mergeCell ref="A36:I36"/>
    <mergeCell ref="A38:A39"/>
    <mergeCell ref="B38:B39"/>
    <mergeCell ref="C38:E38"/>
    <mergeCell ref="F38:I38"/>
    <mergeCell ref="A1:I1"/>
    <mergeCell ref="A2:I2"/>
    <mergeCell ref="F4:I4"/>
    <mergeCell ref="A4:A5"/>
    <mergeCell ref="C4:E4"/>
    <mergeCell ref="B4:B5"/>
  </mergeCells>
  <phoneticPr fontId="0" type="noConversion"/>
  <conditionalFormatting sqref="A1:XFD1048576">
    <cfRule type="cellIs" dxfId="30" priority="3" stopIfTrue="1" operator="equal">
      <formula>".."</formula>
    </cfRule>
  </conditionalFormatting>
  <conditionalFormatting sqref="A63:A65">
    <cfRule type="cellIs" dxfId="29" priority="2" stopIfTrue="1" operator="equal">
      <formula>".."</formula>
    </cfRule>
  </conditionalFormatting>
  <conditionalFormatting sqref="A63:A65">
    <cfRule type="cellIs" dxfId="28" priority="1" stopIfTrue="1" operator="equal">
      <formula>".."</formula>
    </cfRule>
  </conditionalFormatting>
  <printOptions horizontalCentered="1"/>
  <pageMargins left="0.1" right="0.1" top="0.65" bottom="0.1" header="0.35" footer="0.1"/>
  <pageSetup paperSize="9" orientation="landscape" blackAndWhite="1" r:id="rId1"/>
  <headerFooter alignWithMargins="0"/>
  <rowBreaks count="1" manualBreakCount="1">
    <brk id="35" max="16383" man="1"/>
  </rowBreaks>
</worksheet>
</file>

<file path=xl/worksheets/sheet25.xml><?xml version="1.0" encoding="utf-8"?>
<worksheet xmlns="http://schemas.openxmlformats.org/spreadsheetml/2006/main" xmlns:r="http://schemas.openxmlformats.org/officeDocument/2006/relationships">
  <sheetPr codeName="Sheet24"/>
  <dimension ref="A1:F60"/>
  <sheetViews>
    <sheetView workbookViewId="0">
      <selection activeCell="J11" sqref="J11"/>
    </sheetView>
  </sheetViews>
  <sheetFormatPr defaultRowHeight="12.4" customHeight="1"/>
  <cols>
    <col min="1" max="1" width="24.85546875" style="232" customWidth="1"/>
    <col min="2" max="2" width="10.42578125" style="232" customWidth="1"/>
    <col min="3" max="3" width="11.5703125" style="232" customWidth="1"/>
    <col min="4" max="5" width="11" style="232" customWidth="1"/>
    <col min="6" max="6" width="13.85546875" style="232" customWidth="1"/>
    <col min="7" max="16384" width="9.140625" style="232"/>
  </cols>
  <sheetData>
    <row r="1" spans="1:6" ht="12.4" customHeight="1">
      <c r="A1" s="1739" t="s">
        <v>349</v>
      </c>
      <c r="B1" s="1739"/>
      <c r="C1" s="1739"/>
      <c r="D1" s="1739"/>
      <c r="E1" s="1739"/>
      <c r="F1" s="1739"/>
    </row>
    <row r="2" spans="1:6" ht="33.75" customHeight="1">
      <c r="A2" s="1760" t="str">
        <f>CONCATENATE("Achievement of Universal Immunization Programme 
in the district of ",District!$A$1)</f>
        <v>Achievement of Universal Immunization Programme 
in the district of South 24-Parganas</v>
      </c>
      <c r="B2" s="1760"/>
      <c r="C2" s="1760"/>
      <c r="D2" s="1760"/>
      <c r="E2" s="1760"/>
      <c r="F2" s="1760"/>
    </row>
    <row r="3" spans="1:6" ht="12.4" customHeight="1">
      <c r="B3" s="488"/>
      <c r="C3" s="488"/>
      <c r="D3" s="488"/>
      <c r="E3" s="488"/>
      <c r="F3" s="862" t="s">
        <v>977</v>
      </c>
    </row>
    <row r="4" spans="1:6" ht="12.75" customHeight="1">
      <c r="A4" s="252" t="s">
        <v>671</v>
      </c>
      <c r="B4" s="260" t="s">
        <v>1133</v>
      </c>
      <c r="C4" s="260" t="s">
        <v>1134</v>
      </c>
      <c r="D4" s="447" t="s">
        <v>1135</v>
      </c>
      <c r="E4" s="260" t="s">
        <v>1136</v>
      </c>
      <c r="F4" s="337" t="s">
        <v>1138</v>
      </c>
    </row>
    <row r="5" spans="1:6" ht="13.5" customHeight="1">
      <c r="A5" s="199" t="s">
        <v>928</v>
      </c>
      <c r="B5" s="199" t="s">
        <v>929</v>
      </c>
      <c r="C5" s="199" t="s">
        <v>930</v>
      </c>
      <c r="D5" s="119" t="s">
        <v>931</v>
      </c>
      <c r="E5" s="199" t="s">
        <v>932</v>
      </c>
      <c r="F5" s="120" t="s">
        <v>933</v>
      </c>
    </row>
    <row r="6" spans="1:6" ht="13.5" customHeight="1">
      <c r="A6" s="753" t="s">
        <v>1317</v>
      </c>
      <c r="B6" s="392">
        <v>142110</v>
      </c>
      <c r="C6" s="392">
        <v>144850</v>
      </c>
      <c r="D6" s="370">
        <v>142792</v>
      </c>
      <c r="E6" s="392">
        <v>133851</v>
      </c>
      <c r="F6" s="374">
        <v>139854</v>
      </c>
    </row>
    <row r="7" spans="1:6" ht="13.5" customHeight="1">
      <c r="A7" s="753" t="s">
        <v>221</v>
      </c>
      <c r="B7" s="77">
        <v>145519</v>
      </c>
      <c r="C7" s="77">
        <v>129539</v>
      </c>
      <c r="D7" s="39">
        <v>129038</v>
      </c>
      <c r="E7" s="77">
        <v>132480</v>
      </c>
      <c r="F7" s="82">
        <v>124121</v>
      </c>
    </row>
    <row r="8" spans="1:6" ht="13.5" customHeight="1">
      <c r="A8" s="753" t="s">
        <v>1301</v>
      </c>
      <c r="B8" s="392">
        <v>137764</v>
      </c>
      <c r="C8" s="392">
        <v>131151</v>
      </c>
      <c r="D8" s="370">
        <v>108681</v>
      </c>
      <c r="E8" s="392">
        <v>136437</v>
      </c>
      <c r="F8" s="374">
        <v>127818</v>
      </c>
    </row>
    <row r="9" spans="1:6" ht="13.5" customHeight="1">
      <c r="A9" s="753" t="s">
        <v>621</v>
      </c>
      <c r="B9" s="392">
        <v>126549</v>
      </c>
      <c r="C9" s="392">
        <v>137962</v>
      </c>
      <c r="D9" s="370">
        <v>139692</v>
      </c>
      <c r="E9" s="392">
        <v>121643</v>
      </c>
      <c r="F9" s="374">
        <v>141939</v>
      </c>
    </row>
    <row r="10" spans="1:6" ht="13.5" customHeight="1">
      <c r="A10" s="348" t="s">
        <v>206</v>
      </c>
      <c r="B10" s="443">
        <f>SUM(B12,B13,B22,B33,B38,B49)</f>
        <v>148128</v>
      </c>
      <c r="C10" s="443">
        <f>SUM(C12,C13,C22,C33,C38,C49)</f>
        <v>139676</v>
      </c>
      <c r="D10" s="379">
        <f>SUM(D12,D13,D22,D33,D38,D49)</f>
        <v>142475</v>
      </c>
      <c r="E10" s="443">
        <f>SUM(E12,E13,E22,E33,E38,E49)</f>
        <v>137856</v>
      </c>
      <c r="F10" s="443">
        <f>SUM(F12,F13,F22,F33,F38,F49)</f>
        <v>136368</v>
      </c>
    </row>
    <row r="11" spans="1:6" ht="25.5" customHeight="1">
      <c r="A11" s="255" t="s">
        <v>1457</v>
      </c>
      <c r="B11" s="1860" t="str">
        <f>"Year : " &amp; A10</f>
        <v>Year : 2013-14</v>
      </c>
      <c r="C11" s="1861"/>
      <c r="D11" s="1861"/>
      <c r="E11" s="1861"/>
      <c r="F11" s="1862"/>
    </row>
    <row r="12" spans="1:6" ht="13.5" customHeight="1">
      <c r="A12" s="953" t="s">
        <v>1734</v>
      </c>
      <c r="B12" s="954">
        <v>9298</v>
      </c>
      <c r="C12" s="954">
        <v>1522</v>
      </c>
      <c r="D12" s="954">
        <v>1529</v>
      </c>
      <c r="E12" s="954">
        <v>9759</v>
      </c>
      <c r="F12" s="955">
        <v>1455</v>
      </c>
    </row>
    <row r="13" spans="1:6" ht="13.5" customHeight="1">
      <c r="A13" s="956" t="s">
        <v>24</v>
      </c>
      <c r="B13" s="192">
        <f>SUM(B14:B21)</f>
        <v>14865</v>
      </c>
      <c r="C13" s="192">
        <f>SUM(C14:C21)</f>
        <v>17513</v>
      </c>
      <c r="D13" s="192">
        <f>SUM(D14:D21)</f>
        <v>17811</v>
      </c>
      <c r="E13" s="192">
        <f>SUM(E14:E21)</f>
        <v>12032</v>
      </c>
      <c r="F13" s="192">
        <f>SUM(F14:F21)</f>
        <v>16883</v>
      </c>
    </row>
    <row r="14" spans="1:6" ht="13.5" customHeight="1">
      <c r="A14" s="957" t="s">
        <v>1737</v>
      </c>
      <c r="B14" s="77">
        <v>1630</v>
      </c>
      <c r="C14" s="77">
        <v>2555</v>
      </c>
      <c r="D14" s="77">
        <v>2818</v>
      </c>
      <c r="E14" s="77">
        <v>1230</v>
      </c>
      <c r="F14" s="77">
        <v>2530</v>
      </c>
    </row>
    <row r="15" spans="1:6" ht="13.5" customHeight="1">
      <c r="A15" s="957" t="s">
        <v>1214</v>
      </c>
      <c r="B15" s="77">
        <v>3233</v>
      </c>
      <c r="C15" s="77">
        <v>3435</v>
      </c>
      <c r="D15" s="77">
        <v>3514</v>
      </c>
      <c r="E15" s="77">
        <v>2124</v>
      </c>
      <c r="F15" s="77">
        <v>3339</v>
      </c>
    </row>
    <row r="16" spans="1:6" ht="13.5" customHeight="1">
      <c r="A16" s="957" t="s">
        <v>1211</v>
      </c>
      <c r="B16" s="77">
        <v>4440</v>
      </c>
      <c r="C16" s="77">
        <v>3353</v>
      </c>
      <c r="D16" s="77">
        <v>3411</v>
      </c>
      <c r="E16" s="77">
        <v>2263</v>
      </c>
      <c r="F16" s="77">
        <v>3209</v>
      </c>
    </row>
    <row r="17" spans="1:6" ht="13.5" customHeight="1">
      <c r="A17" s="957" t="s">
        <v>1212</v>
      </c>
      <c r="B17" s="77">
        <v>1786</v>
      </c>
      <c r="C17" s="77">
        <v>1855</v>
      </c>
      <c r="D17" s="77">
        <v>1827</v>
      </c>
      <c r="E17" s="77">
        <v>1655</v>
      </c>
      <c r="F17" s="77">
        <v>1810</v>
      </c>
    </row>
    <row r="18" spans="1:6" ht="13.5" customHeight="1">
      <c r="A18" s="957" t="s">
        <v>1213</v>
      </c>
      <c r="B18" s="77">
        <v>2865</v>
      </c>
      <c r="C18" s="77">
        <v>2958</v>
      </c>
      <c r="D18" s="77">
        <v>3153</v>
      </c>
      <c r="E18" s="77">
        <v>2274</v>
      </c>
      <c r="F18" s="77">
        <v>2940</v>
      </c>
    </row>
    <row r="19" spans="1:6" ht="13.5" customHeight="1">
      <c r="A19" s="957" t="s">
        <v>1215</v>
      </c>
      <c r="B19" s="392">
        <v>561</v>
      </c>
      <c r="C19" s="392">
        <v>828</v>
      </c>
      <c r="D19" s="392">
        <v>828</v>
      </c>
      <c r="E19" s="392">
        <v>753</v>
      </c>
      <c r="F19" s="392">
        <v>818</v>
      </c>
    </row>
    <row r="20" spans="1:6" ht="13.5" customHeight="1">
      <c r="A20" s="957" t="s">
        <v>1216</v>
      </c>
      <c r="B20" s="392">
        <v>269</v>
      </c>
      <c r="C20" s="392">
        <v>2325</v>
      </c>
      <c r="D20" s="392">
        <v>2097</v>
      </c>
      <c r="E20" s="392">
        <v>1555</v>
      </c>
      <c r="F20" s="392">
        <v>2029</v>
      </c>
    </row>
    <row r="21" spans="1:6" ht="13.5" customHeight="1">
      <c r="A21" s="957" t="s">
        <v>1217</v>
      </c>
      <c r="B21" s="513">
        <v>81</v>
      </c>
      <c r="C21" s="513">
        <v>204</v>
      </c>
      <c r="D21" s="513">
        <v>163</v>
      </c>
      <c r="E21" s="513">
        <v>178</v>
      </c>
      <c r="F21" s="513">
        <v>208</v>
      </c>
    </row>
    <row r="22" spans="1:6" ht="13.5" customHeight="1">
      <c r="A22" s="956" t="s">
        <v>314</v>
      </c>
      <c r="B22" s="192">
        <f>SUM(B23:B32)</f>
        <v>39753</v>
      </c>
      <c r="C22" s="192">
        <f>SUM(C23:C32)</f>
        <v>40450</v>
      </c>
      <c r="D22" s="192">
        <f>SUM(D23:D32)</f>
        <v>41776</v>
      </c>
      <c r="E22" s="192">
        <f>SUM(E23:E32)</f>
        <v>33897</v>
      </c>
      <c r="F22" s="192">
        <f>SUM(F23:F32)</f>
        <v>40826</v>
      </c>
    </row>
    <row r="23" spans="1:6" ht="13.5" customHeight="1">
      <c r="A23" s="957" t="s">
        <v>1218</v>
      </c>
      <c r="B23" s="77">
        <v>3038</v>
      </c>
      <c r="C23" s="77">
        <v>3353</v>
      </c>
      <c r="D23" s="77">
        <v>3318</v>
      </c>
      <c r="E23" s="77">
        <v>2352</v>
      </c>
      <c r="F23" s="77">
        <v>3355</v>
      </c>
    </row>
    <row r="24" spans="1:6" ht="13.5" customHeight="1">
      <c r="A24" s="957" t="s">
        <v>759</v>
      </c>
      <c r="B24" s="77">
        <v>4820</v>
      </c>
      <c r="C24" s="77">
        <v>5229</v>
      </c>
      <c r="D24" s="77">
        <v>5624</v>
      </c>
      <c r="E24" s="77">
        <v>4942</v>
      </c>
      <c r="F24" s="77">
        <v>5227</v>
      </c>
    </row>
    <row r="25" spans="1:6" ht="13.5" customHeight="1">
      <c r="A25" s="957" t="s">
        <v>760</v>
      </c>
      <c r="B25" s="77">
        <v>6080</v>
      </c>
      <c r="C25" s="77">
        <v>5339</v>
      </c>
      <c r="D25" s="77">
        <v>5641</v>
      </c>
      <c r="E25" s="77">
        <v>5749</v>
      </c>
      <c r="F25" s="77">
        <v>5466</v>
      </c>
    </row>
    <row r="26" spans="1:6" ht="13.5" customHeight="1">
      <c r="A26" s="957" t="s">
        <v>1194</v>
      </c>
      <c r="B26" s="77">
        <v>5301</v>
      </c>
      <c r="C26" s="77">
        <v>4791</v>
      </c>
      <c r="D26" s="77">
        <v>5046</v>
      </c>
      <c r="E26" s="77">
        <v>5135</v>
      </c>
      <c r="F26" s="77">
        <v>4778</v>
      </c>
    </row>
    <row r="27" spans="1:6" ht="13.5" customHeight="1">
      <c r="A27" s="957" t="s">
        <v>1221</v>
      </c>
      <c r="B27" s="77">
        <v>7529</v>
      </c>
      <c r="C27" s="77">
        <v>7714</v>
      </c>
      <c r="D27" s="77">
        <v>8026</v>
      </c>
      <c r="E27" s="77">
        <v>4473</v>
      </c>
      <c r="F27" s="77">
        <v>8060</v>
      </c>
    </row>
    <row r="28" spans="1:6" ht="13.5" customHeight="1">
      <c r="A28" s="957" t="s">
        <v>761</v>
      </c>
      <c r="B28" s="77">
        <v>5066</v>
      </c>
      <c r="C28" s="77">
        <v>5211</v>
      </c>
      <c r="D28" s="77">
        <v>5380</v>
      </c>
      <c r="E28" s="77">
        <v>3880</v>
      </c>
      <c r="F28" s="77">
        <v>5363</v>
      </c>
    </row>
    <row r="29" spans="1:6" ht="13.5" customHeight="1">
      <c r="A29" s="957" t="s">
        <v>762</v>
      </c>
      <c r="B29" s="77">
        <v>5375</v>
      </c>
      <c r="C29" s="77">
        <v>5392</v>
      </c>
      <c r="D29" s="77">
        <v>5319</v>
      </c>
      <c r="E29" s="77">
        <v>3700</v>
      </c>
      <c r="F29" s="77">
        <v>5224</v>
      </c>
    </row>
    <row r="30" spans="1:6" ht="13.5" customHeight="1">
      <c r="A30" s="957" t="s">
        <v>836</v>
      </c>
      <c r="B30" s="77">
        <v>260</v>
      </c>
      <c r="C30" s="392">
        <v>253</v>
      </c>
      <c r="D30" s="392">
        <v>255</v>
      </c>
      <c r="E30" s="392">
        <v>309</v>
      </c>
      <c r="F30" s="392">
        <v>217</v>
      </c>
    </row>
    <row r="31" spans="1:6" ht="13.5" customHeight="1">
      <c r="A31" s="957" t="s">
        <v>1222</v>
      </c>
      <c r="B31" s="77">
        <v>1087</v>
      </c>
      <c r="C31" s="392">
        <v>241</v>
      </c>
      <c r="D31" s="392">
        <v>241</v>
      </c>
      <c r="E31" s="392">
        <v>2370</v>
      </c>
      <c r="F31" s="392">
        <v>242</v>
      </c>
    </row>
    <row r="32" spans="1:6" ht="13.5" customHeight="1">
      <c r="A32" s="957" t="s">
        <v>1736</v>
      </c>
      <c r="B32" s="392">
        <v>1197</v>
      </c>
      <c r="C32" s="513">
        <v>2927</v>
      </c>
      <c r="D32" s="513">
        <v>2926</v>
      </c>
      <c r="E32" s="513">
        <v>987</v>
      </c>
      <c r="F32" s="513">
        <v>2894</v>
      </c>
    </row>
    <row r="33" spans="1:6" ht="13.5" customHeight="1">
      <c r="A33" s="956" t="s">
        <v>315</v>
      </c>
      <c r="B33" s="192">
        <f>SUM(B34:B37)</f>
        <v>24298</v>
      </c>
      <c r="C33" s="192">
        <f>SUM(C34:C37)</f>
        <v>24426</v>
      </c>
      <c r="D33" s="192">
        <f>SUM(D34:D37)</f>
        <v>24931</v>
      </c>
      <c r="E33" s="192">
        <f>SUM(E34:E37)</f>
        <v>23469</v>
      </c>
      <c r="F33" s="192">
        <f>SUM(F34:F37)</f>
        <v>23084</v>
      </c>
    </row>
    <row r="34" spans="1:6" ht="13.5" customHeight="1">
      <c r="A34" s="957" t="s">
        <v>1223</v>
      </c>
      <c r="B34" s="77">
        <v>6283</v>
      </c>
      <c r="C34" s="77">
        <v>6520</v>
      </c>
      <c r="D34" s="77">
        <v>6691</v>
      </c>
      <c r="E34" s="77">
        <v>6925</v>
      </c>
      <c r="F34" s="77">
        <v>6359</v>
      </c>
    </row>
    <row r="35" spans="1:6" ht="13.5" customHeight="1">
      <c r="A35" s="957" t="s">
        <v>1224</v>
      </c>
      <c r="B35" s="77">
        <v>6693</v>
      </c>
      <c r="C35" s="77">
        <v>6889</v>
      </c>
      <c r="D35" s="77">
        <v>7061</v>
      </c>
      <c r="E35" s="77">
        <v>5938</v>
      </c>
      <c r="F35" s="77">
        <v>6175</v>
      </c>
    </row>
    <row r="36" spans="1:6" ht="13.5" customHeight="1">
      <c r="A36" s="957" t="s">
        <v>1197</v>
      </c>
      <c r="B36" s="77">
        <v>7730</v>
      </c>
      <c r="C36" s="77">
        <v>7354</v>
      </c>
      <c r="D36" s="77">
        <v>7591</v>
      </c>
      <c r="E36" s="77">
        <v>7246</v>
      </c>
      <c r="F36" s="77">
        <v>7028</v>
      </c>
    </row>
    <row r="37" spans="1:6" ht="13.5" customHeight="1">
      <c r="A37" s="957" t="s">
        <v>1198</v>
      </c>
      <c r="B37" s="77">
        <v>3592</v>
      </c>
      <c r="C37" s="77">
        <v>3663</v>
      </c>
      <c r="D37" s="77">
        <v>3588</v>
      </c>
      <c r="E37" s="77">
        <v>3360</v>
      </c>
      <c r="F37" s="77">
        <v>3522</v>
      </c>
    </row>
    <row r="38" spans="1:6" ht="13.5" customHeight="1">
      <c r="A38" s="956" t="s">
        <v>25</v>
      </c>
      <c r="B38" s="192">
        <f>SUM(B39:B48)</f>
        <v>41145</v>
      </c>
      <c r="C38" s="192">
        <f>SUM(C39:C48)</f>
        <v>38001</v>
      </c>
      <c r="D38" s="192">
        <f>SUM(D39:D48)</f>
        <v>38586</v>
      </c>
      <c r="E38" s="192">
        <f>SUM(E39:E48)</f>
        <v>40637</v>
      </c>
      <c r="F38" s="192">
        <f>SUM(F39:F48)</f>
        <v>36892</v>
      </c>
    </row>
    <row r="39" spans="1:6" ht="13.5" customHeight="1">
      <c r="A39" s="957" t="s">
        <v>1225</v>
      </c>
      <c r="B39" s="77">
        <v>5751</v>
      </c>
      <c r="C39" s="77">
        <v>5283</v>
      </c>
      <c r="D39" s="77">
        <v>5191</v>
      </c>
      <c r="E39" s="77">
        <v>4496</v>
      </c>
      <c r="F39" s="77">
        <v>5088</v>
      </c>
    </row>
    <row r="40" spans="1:6" ht="13.5" customHeight="1">
      <c r="A40" s="957" t="s">
        <v>1226</v>
      </c>
      <c r="B40" s="77">
        <v>5829</v>
      </c>
      <c r="C40" s="77">
        <v>5273</v>
      </c>
      <c r="D40" s="77">
        <v>5451</v>
      </c>
      <c r="E40" s="77">
        <v>5136</v>
      </c>
      <c r="F40" s="77">
        <v>5193</v>
      </c>
    </row>
    <row r="41" spans="1:6" ht="13.5" customHeight="1">
      <c r="A41" s="957" t="s">
        <v>837</v>
      </c>
      <c r="B41" s="77">
        <v>3772</v>
      </c>
      <c r="C41" s="77">
        <v>3072</v>
      </c>
      <c r="D41" s="77">
        <v>3229</v>
      </c>
      <c r="E41" s="77">
        <v>3158</v>
      </c>
      <c r="F41" s="77">
        <v>3181</v>
      </c>
    </row>
    <row r="42" spans="1:6" ht="13.5" customHeight="1">
      <c r="A42" s="957" t="s">
        <v>1203</v>
      </c>
      <c r="B42" s="77">
        <v>5945</v>
      </c>
      <c r="C42" s="77">
        <v>5498</v>
      </c>
      <c r="D42" s="77">
        <v>5435</v>
      </c>
      <c r="E42" s="77">
        <v>5548</v>
      </c>
      <c r="F42" s="77">
        <v>5272</v>
      </c>
    </row>
    <row r="43" spans="1:6" ht="13.5" customHeight="1">
      <c r="A43" s="957" t="s">
        <v>1204</v>
      </c>
      <c r="B43" s="77">
        <v>4302</v>
      </c>
      <c r="C43" s="77">
        <v>4133</v>
      </c>
      <c r="D43" s="77">
        <v>4365</v>
      </c>
      <c r="E43" s="77">
        <v>3279</v>
      </c>
      <c r="F43" s="77">
        <v>4057</v>
      </c>
    </row>
    <row r="44" spans="1:6" ht="13.5" customHeight="1">
      <c r="A44" s="957" t="s">
        <v>281</v>
      </c>
      <c r="B44" s="77">
        <v>3234</v>
      </c>
      <c r="C44" s="77">
        <v>2988</v>
      </c>
      <c r="D44" s="77">
        <v>3021</v>
      </c>
      <c r="E44" s="77">
        <v>2458</v>
      </c>
      <c r="F44" s="77">
        <v>2875</v>
      </c>
    </row>
    <row r="45" spans="1:6" ht="13.5" customHeight="1">
      <c r="A45" s="957" t="s">
        <v>1745</v>
      </c>
      <c r="B45" s="77">
        <v>3477</v>
      </c>
      <c r="C45" s="77">
        <v>3424</v>
      </c>
      <c r="D45" s="77">
        <v>3371</v>
      </c>
      <c r="E45" s="77">
        <v>2837</v>
      </c>
      <c r="F45" s="77">
        <v>3230</v>
      </c>
    </row>
    <row r="46" spans="1:6" ht="13.5" customHeight="1">
      <c r="A46" s="957" t="s">
        <v>1227</v>
      </c>
      <c r="B46" s="77">
        <v>4366</v>
      </c>
      <c r="C46" s="77">
        <v>3950</v>
      </c>
      <c r="D46" s="77">
        <v>3978</v>
      </c>
      <c r="E46" s="77">
        <v>4250</v>
      </c>
      <c r="F46" s="77">
        <v>3850</v>
      </c>
    </row>
    <row r="47" spans="1:6" ht="13.5" customHeight="1">
      <c r="A47" s="957" t="s">
        <v>1228</v>
      </c>
      <c r="B47" s="77">
        <v>4178</v>
      </c>
      <c r="C47" s="77">
        <v>4064</v>
      </c>
      <c r="D47" s="77">
        <v>4248</v>
      </c>
      <c r="E47" s="77">
        <v>4406</v>
      </c>
      <c r="F47" s="77">
        <v>3882</v>
      </c>
    </row>
    <row r="48" spans="1:6" ht="13.5" customHeight="1">
      <c r="A48" s="957" t="s">
        <v>863</v>
      </c>
      <c r="B48" s="392">
        <v>291</v>
      </c>
      <c r="C48" s="392">
        <v>316</v>
      </c>
      <c r="D48" s="392">
        <v>297</v>
      </c>
      <c r="E48" s="392">
        <v>5069</v>
      </c>
      <c r="F48" s="392">
        <v>264</v>
      </c>
    </row>
    <row r="49" spans="1:6" ht="13.5" customHeight="1">
      <c r="A49" s="956" t="s">
        <v>317</v>
      </c>
      <c r="B49" s="192">
        <f>SUM(B50:B53)</f>
        <v>18769</v>
      </c>
      <c r="C49" s="192">
        <f>SUM(C50:C53)</f>
        <v>17764</v>
      </c>
      <c r="D49" s="192">
        <f>SUM(D50:D53)</f>
        <v>17842</v>
      </c>
      <c r="E49" s="192">
        <f>SUM(E50:E53)</f>
        <v>18062</v>
      </c>
      <c r="F49" s="192">
        <f>SUM(F50:F53)</f>
        <v>17228</v>
      </c>
    </row>
    <row r="50" spans="1:6" ht="13.5" customHeight="1">
      <c r="A50" s="957" t="s">
        <v>1205</v>
      </c>
      <c r="B50" s="77">
        <v>5476</v>
      </c>
      <c r="C50" s="77">
        <v>5266</v>
      </c>
      <c r="D50" s="77">
        <v>5251</v>
      </c>
      <c r="E50" s="77">
        <v>5455</v>
      </c>
      <c r="F50" s="77">
        <v>5014</v>
      </c>
    </row>
    <row r="51" spans="1:6" ht="13.5" customHeight="1">
      <c r="A51" s="957" t="s">
        <v>1206</v>
      </c>
      <c r="B51" s="77">
        <v>3351</v>
      </c>
      <c r="C51" s="77">
        <v>3179</v>
      </c>
      <c r="D51" s="77">
        <v>3239</v>
      </c>
      <c r="E51" s="77">
        <v>3238</v>
      </c>
      <c r="F51" s="77">
        <v>3053</v>
      </c>
    </row>
    <row r="52" spans="1:6" ht="13.5" customHeight="1">
      <c r="A52" s="957" t="s">
        <v>1207</v>
      </c>
      <c r="B52" s="77">
        <v>4066</v>
      </c>
      <c r="C52" s="77">
        <v>3902</v>
      </c>
      <c r="D52" s="77">
        <v>3908</v>
      </c>
      <c r="E52" s="77">
        <v>3938</v>
      </c>
      <c r="F52" s="77">
        <v>3728</v>
      </c>
    </row>
    <row r="53" spans="1:6" ht="13.5" customHeight="1">
      <c r="A53" s="958" t="s">
        <v>1208</v>
      </c>
      <c r="B53" s="78">
        <v>5876</v>
      </c>
      <c r="C53" s="78">
        <v>5417</v>
      </c>
      <c r="D53" s="78">
        <v>5444</v>
      </c>
      <c r="E53" s="78">
        <v>5431</v>
      </c>
      <c r="F53" s="78">
        <v>5433</v>
      </c>
    </row>
    <row r="54" spans="1:6" ht="12.4" customHeight="1">
      <c r="A54" s="1201" t="s">
        <v>1178</v>
      </c>
      <c r="B54" s="1201"/>
      <c r="C54" s="1202"/>
      <c r="D54" s="1203"/>
      <c r="E54" s="1204"/>
      <c r="F54" s="1205" t="s">
        <v>551</v>
      </c>
    </row>
    <row r="55" spans="1:6" ht="12.4" customHeight="1">
      <c r="A55" s="1201" t="s">
        <v>1475</v>
      </c>
      <c r="B55" s="1201"/>
      <c r="C55" s="1204"/>
      <c r="D55" s="1204"/>
      <c r="E55" s="1204"/>
      <c r="F55" s="1204"/>
    </row>
    <row r="56" spans="1:6" ht="12.4" customHeight="1">
      <c r="A56" s="1201" t="s">
        <v>430</v>
      </c>
      <c r="B56" s="1201"/>
      <c r="C56" s="1204"/>
      <c r="D56" s="1204"/>
      <c r="E56" s="1204"/>
      <c r="F56" s="1204"/>
    </row>
    <row r="57" spans="1:6" ht="12.4" customHeight="1">
      <c r="A57" s="1526" t="s">
        <v>282</v>
      </c>
      <c r="B57" s="939"/>
      <c r="C57" s="939"/>
      <c r="D57" s="939"/>
      <c r="E57" s="939"/>
      <c r="F57" s="939"/>
    </row>
    <row r="59" spans="1:6" ht="12.4" customHeight="1">
      <c r="A59" s="939"/>
      <c r="B59" s="939"/>
      <c r="C59" s="939"/>
      <c r="D59" s="939"/>
      <c r="E59" s="939"/>
      <c r="F59" s="939"/>
    </row>
    <row r="60" spans="1:6" ht="12.4" customHeight="1">
      <c r="D60" s="959"/>
    </row>
  </sheetData>
  <mergeCells count="3">
    <mergeCell ref="A2:F2"/>
    <mergeCell ref="B11:F11"/>
    <mergeCell ref="A1:F1"/>
  </mergeCells>
  <phoneticPr fontId="0" type="noConversion"/>
  <conditionalFormatting sqref="A1:XFD1048576">
    <cfRule type="cellIs" dxfId="27" priority="1" stopIfTrue="1" operator="equal">
      <formula>".."</formula>
    </cfRule>
  </conditionalFormatting>
  <printOptions horizontalCentered="1"/>
  <pageMargins left="0.15" right="0.15" top="0.49" bottom="0.1" header="0.5" footer="0.1"/>
  <pageSetup paperSize="9" orientation="portrait" blackAndWhite="1" r:id="rId1"/>
  <headerFooter alignWithMargins="0"/>
</worksheet>
</file>

<file path=xl/worksheets/sheet26.xml><?xml version="1.0" encoding="utf-8"?>
<worksheet xmlns="http://schemas.openxmlformats.org/spreadsheetml/2006/main" xmlns:r="http://schemas.openxmlformats.org/officeDocument/2006/relationships">
  <sheetPr codeName="Sheet25"/>
  <dimension ref="A1:F57"/>
  <sheetViews>
    <sheetView workbookViewId="0">
      <selection activeCell="J11" sqref="J11"/>
    </sheetView>
  </sheetViews>
  <sheetFormatPr defaultRowHeight="12.4" customHeight="1"/>
  <cols>
    <col min="1" max="1" width="30.28515625" style="939" customWidth="1"/>
    <col min="2" max="2" width="19.5703125" style="939" customWidth="1"/>
    <col min="3" max="3" width="19.7109375" style="939" customWidth="1"/>
    <col min="4" max="4" width="18.42578125" style="939" customWidth="1"/>
    <col min="5" max="16384" width="9.140625" style="939"/>
  </cols>
  <sheetData>
    <row r="1" spans="1:6" ht="12.4" customHeight="1">
      <c r="A1" s="1863" t="s">
        <v>350</v>
      </c>
      <c r="B1" s="1863"/>
      <c r="C1" s="1863"/>
      <c r="D1" s="1863"/>
    </row>
    <row r="2" spans="1:6" ht="33.75" customHeight="1">
      <c r="A2" s="1865" t="str">
        <f>CONCATENATE("Patients treated in Hospitals, Health Centres and Sub-centres 
in the district of ",District!$A$1)</f>
        <v>Patients treated in Hospitals, Health Centres and Sub-centres 
in the district of South 24-Parganas</v>
      </c>
      <c r="B2" s="1865"/>
      <c r="C2" s="1865"/>
      <c r="D2" s="1865"/>
    </row>
    <row r="3" spans="1:6" ht="12.4" customHeight="1">
      <c r="B3" s="1508"/>
      <c r="C3" s="1508"/>
      <c r="D3" s="1509" t="s">
        <v>977</v>
      </c>
    </row>
    <row r="4" spans="1:6" ht="12.75" customHeight="1">
      <c r="A4" s="1510" t="s">
        <v>671</v>
      </c>
      <c r="B4" s="1511" t="s">
        <v>1139</v>
      </c>
      <c r="C4" s="1511" t="s">
        <v>1140</v>
      </c>
      <c r="D4" s="1512" t="s">
        <v>958</v>
      </c>
    </row>
    <row r="5" spans="1:6" ht="12.75" customHeight="1">
      <c r="A5" s="1513" t="s">
        <v>928</v>
      </c>
      <c r="B5" s="1513" t="s">
        <v>929</v>
      </c>
      <c r="C5" s="1513" t="s">
        <v>930</v>
      </c>
      <c r="D5" s="1514" t="s">
        <v>931</v>
      </c>
    </row>
    <row r="6" spans="1:6" ht="13.5" customHeight="1">
      <c r="A6" s="1515">
        <v>2010</v>
      </c>
      <c r="B6" s="85">
        <v>228766</v>
      </c>
      <c r="C6" s="84">
        <v>4172382</v>
      </c>
      <c r="D6" s="1516">
        <f>SUM(B6:C6)</f>
        <v>4401148</v>
      </c>
    </row>
    <row r="7" spans="1:6" ht="13.5" customHeight="1">
      <c r="A7" s="1515">
        <v>2011</v>
      </c>
      <c r="B7" s="85">
        <v>213779</v>
      </c>
      <c r="C7" s="84">
        <v>3827232</v>
      </c>
      <c r="D7" s="1517">
        <f>SUM(B7:C7)</f>
        <v>4041011</v>
      </c>
    </row>
    <row r="8" spans="1:6" ht="13.5" customHeight="1">
      <c r="A8" s="1515">
        <v>2012</v>
      </c>
      <c r="B8" s="85">
        <v>229952</v>
      </c>
      <c r="C8" s="84">
        <v>3645557</v>
      </c>
      <c r="D8" s="1517">
        <f>SUM(B8:C8)</f>
        <v>3875509</v>
      </c>
    </row>
    <row r="9" spans="1:6" ht="13.5" customHeight="1">
      <c r="A9" s="1515">
        <v>2013</v>
      </c>
      <c r="B9" s="85">
        <v>256204</v>
      </c>
      <c r="C9" s="84">
        <v>3601527</v>
      </c>
      <c r="D9" s="1517">
        <f>SUM(B9:C9)</f>
        <v>3857731</v>
      </c>
    </row>
    <row r="10" spans="1:6" ht="13.5" customHeight="1">
      <c r="A10" s="1518">
        <v>2014</v>
      </c>
      <c r="B10" s="441">
        <f>SUM(B12,B13,B22,B33,B38,B49)</f>
        <v>276405</v>
      </c>
      <c r="C10" s="382">
        <f>SUM(C12,C13,C22,C33,C38,C49)</f>
        <v>5173318</v>
      </c>
      <c r="D10" s="1519">
        <f>SUM(D12,D13,D22,D33,D38,D49)</f>
        <v>5449723</v>
      </c>
      <c r="F10" s="1520"/>
    </row>
    <row r="11" spans="1:6" ht="26.25" customHeight="1">
      <c r="A11" s="1521" t="s">
        <v>1457</v>
      </c>
      <c r="B11" s="1866" t="str">
        <f>"Year : " &amp; A10</f>
        <v>Year : 2014</v>
      </c>
      <c r="C11" s="1867"/>
      <c r="D11" s="1868"/>
    </row>
    <row r="12" spans="1:6" ht="12.75" customHeight="1">
      <c r="A12" s="953" t="s">
        <v>1734</v>
      </c>
      <c r="B12" s="191">
        <v>78568</v>
      </c>
      <c r="C12" s="389">
        <v>876428</v>
      </c>
      <c r="D12" s="1522">
        <f t="shared" ref="D12:D31" si="0">SUM(B12:C12)</f>
        <v>954996</v>
      </c>
      <c r="F12" s="1523"/>
    </row>
    <row r="13" spans="1:6" ht="12.75" customHeight="1">
      <c r="A13" s="956" t="s">
        <v>24</v>
      </c>
      <c r="B13" s="170">
        <f>SUM(B14:B21)</f>
        <v>33498</v>
      </c>
      <c r="C13" s="192">
        <f>SUM(C14:C21)</f>
        <v>633233</v>
      </c>
      <c r="D13" s="171">
        <f>SUM(D14:D21)</f>
        <v>666731</v>
      </c>
    </row>
    <row r="14" spans="1:6" ht="12.75" customHeight="1">
      <c r="A14" s="957" t="s">
        <v>757</v>
      </c>
      <c r="B14" s="79">
        <v>154</v>
      </c>
      <c r="C14" s="85">
        <v>29942</v>
      </c>
      <c r="D14" s="1517">
        <f t="shared" si="0"/>
        <v>30096</v>
      </c>
    </row>
    <row r="15" spans="1:6" ht="12.75" customHeight="1">
      <c r="A15" s="957" t="s">
        <v>1214</v>
      </c>
      <c r="B15" s="372">
        <v>26156</v>
      </c>
      <c r="C15" s="393">
        <v>209729</v>
      </c>
      <c r="D15" s="1517">
        <f t="shared" si="0"/>
        <v>235885</v>
      </c>
    </row>
    <row r="16" spans="1:6" ht="12.75" customHeight="1">
      <c r="A16" s="957" t="s">
        <v>1211</v>
      </c>
      <c r="B16" s="372">
        <v>1774</v>
      </c>
      <c r="C16" s="85">
        <v>131275</v>
      </c>
      <c r="D16" s="1517">
        <f t="shared" si="0"/>
        <v>133049</v>
      </c>
    </row>
    <row r="17" spans="1:4" ht="12.75" customHeight="1">
      <c r="A17" s="957" t="s">
        <v>1212</v>
      </c>
      <c r="B17" s="79">
        <v>2748</v>
      </c>
      <c r="C17" s="85">
        <v>154088</v>
      </c>
      <c r="D17" s="1517">
        <f t="shared" si="0"/>
        <v>156836</v>
      </c>
    </row>
    <row r="18" spans="1:4" ht="12.75" customHeight="1">
      <c r="A18" s="957" t="s">
        <v>1213</v>
      </c>
      <c r="B18" s="79">
        <v>2666</v>
      </c>
      <c r="C18" s="85">
        <v>108199</v>
      </c>
      <c r="D18" s="1517">
        <f t="shared" si="0"/>
        <v>110865</v>
      </c>
    </row>
    <row r="19" spans="1:4" ht="12.75" customHeight="1">
      <c r="A19" s="957" t="s">
        <v>1215</v>
      </c>
      <c r="B19" s="372" t="s">
        <v>857</v>
      </c>
      <c r="C19" s="393" t="s">
        <v>857</v>
      </c>
      <c r="D19" s="1524" t="s">
        <v>857</v>
      </c>
    </row>
    <row r="20" spans="1:4" ht="12.75" customHeight="1">
      <c r="A20" s="957" t="s">
        <v>1216</v>
      </c>
      <c r="B20" s="372" t="s">
        <v>857</v>
      </c>
      <c r="C20" s="393" t="s">
        <v>857</v>
      </c>
      <c r="D20" s="1524" t="s">
        <v>857</v>
      </c>
    </row>
    <row r="21" spans="1:4" ht="12.75" customHeight="1">
      <c r="A21" s="957" t="s">
        <v>1217</v>
      </c>
      <c r="B21" s="372" t="s">
        <v>857</v>
      </c>
      <c r="C21" s="393" t="s">
        <v>857</v>
      </c>
      <c r="D21" s="1524" t="s">
        <v>857</v>
      </c>
    </row>
    <row r="22" spans="1:4" ht="12.75" customHeight="1">
      <c r="A22" s="956" t="s">
        <v>314</v>
      </c>
      <c r="B22" s="170">
        <f>SUM(B23:B32)</f>
        <v>48114</v>
      </c>
      <c r="C22" s="192">
        <f>SUM(C23:C32)</f>
        <v>1266244</v>
      </c>
      <c r="D22" s="171">
        <f>SUM(D23:D32)</f>
        <v>1314358</v>
      </c>
    </row>
    <row r="23" spans="1:4" ht="12.75" customHeight="1">
      <c r="A23" s="957" t="s">
        <v>1218</v>
      </c>
      <c r="B23" s="79">
        <v>5681</v>
      </c>
      <c r="C23" s="85">
        <v>251117</v>
      </c>
      <c r="D23" s="1517">
        <f>SUM(B23:C23)</f>
        <v>256798</v>
      </c>
    </row>
    <row r="24" spans="1:4" ht="12.75" customHeight="1">
      <c r="A24" s="957" t="s">
        <v>759</v>
      </c>
      <c r="B24" s="79">
        <v>4852</v>
      </c>
      <c r="C24" s="85">
        <v>151301</v>
      </c>
      <c r="D24" s="1517">
        <f t="shared" si="0"/>
        <v>156153</v>
      </c>
    </row>
    <row r="25" spans="1:4" ht="12.75" customHeight="1">
      <c r="A25" s="957" t="s">
        <v>760</v>
      </c>
      <c r="B25" s="79">
        <v>5075</v>
      </c>
      <c r="C25" s="85">
        <v>176634</v>
      </c>
      <c r="D25" s="1517">
        <f t="shared" si="0"/>
        <v>181709</v>
      </c>
    </row>
    <row r="26" spans="1:4" ht="12.75" customHeight="1">
      <c r="A26" s="957" t="s">
        <v>1194</v>
      </c>
      <c r="B26" s="79">
        <v>3858</v>
      </c>
      <c r="C26" s="85">
        <v>163952</v>
      </c>
      <c r="D26" s="1517">
        <f t="shared" si="0"/>
        <v>167810</v>
      </c>
    </row>
    <row r="27" spans="1:4" ht="12.75" customHeight="1">
      <c r="A27" s="957" t="s">
        <v>1221</v>
      </c>
      <c r="B27" s="79">
        <v>725</v>
      </c>
      <c r="C27" s="85">
        <v>92675</v>
      </c>
      <c r="D27" s="1517">
        <f>IF(SUM(B27:C27)=0,"..",SUM(B27:C27))</f>
        <v>93400</v>
      </c>
    </row>
    <row r="28" spans="1:4" ht="12.75" customHeight="1">
      <c r="A28" s="957" t="s">
        <v>761</v>
      </c>
      <c r="B28" s="79">
        <v>5292</v>
      </c>
      <c r="C28" s="85">
        <v>90894</v>
      </c>
      <c r="D28" s="1517">
        <f t="shared" si="0"/>
        <v>96186</v>
      </c>
    </row>
    <row r="29" spans="1:4" ht="12.75" customHeight="1">
      <c r="A29" s="957" t="s">
        <v>762</v>
      </c>
      <c r="B29" s="79">
        <v>1583</v>
      </c>
      <c r="C29" s="85">
        <v>103641</v>
      </c>
      <c r="D29" s="1517">
        <f t="shared" si="0"/>
        <v>105224</v>
      </c>
    </row>
    <row r="30" spans="1:4" ht="12.75" customHeight="1">
      <c r="A30" s="957" t="s">
        <v>836</v>
      </c>
      <c r="B30" s="393" t="s">
        <v>857</v>
      </c>
      <c r="C30" s="393" t="s">
        <v>857</v>
      </c>
      <c r="D30" s="393" t="s">
        <v>857</v>
      </c>
    </row>
    <row r="31" spans="1:4" ht="12.75" customHeight="1">
      <c r="A31" s="957" t="s">
        <v>1311</v>
      </c>
      <c r="B31" s="393">
        <v>21048</v>
      </c>
      <c r="C31" s="393">
        <v>236030</v>
      </c>
      <c r="D31" s="1517">
        <f t="shared" si="0"/>
        <v>257078</v>
      </c>
    </row>
    <row r="32" spans="1:4" ht="12.75" customHeight="1">
      <c r="A32" s="957" t="s">
        <v>1736</v>
      </c>
      <c r="B32" s="393" t="s">
        <v>857</v>
      </c>
      <c r="C32" s="393" t="s">
        <v>857</v>
      </c>
      <c r="D32" s="393" t="s">
        <v>857</v>
      </c>
    </row>
    <row r="33" spans="1:4" ht="12.75" customHeight="1">
      <c r="A33" s="956" t="s">
        <v>315</v>
      </c>
      <c r="B33" s="170">
        <f>SUM(B34:B37)</f>
        <v>22467</v>
      </c>
      <c r="C33" s="192">
        <f>SUM(C34:C37)</f>
        <v>666377</v>
      </c>
      <c r="D33" s="171">
        <f>SUM(D34:D37)</f>
        <v>688844</v>
      </c>
    </row>
    <row r="34" spans="1:4" ht="12.75" customHeight="1">
      <c r="A34" s="957" t="s">
        <v>1223</v>
      </c>
      <c r="B34" s="79">
        <v>15961</v>
      </c>
      <c r="C34" s="85">
        <v>381408</v>
      </c>
      <c r="D34" s="1517">
        <f>SUM(B34:C34)</f>
        <v>397369</v>
      </c>
    </row>
    <row r="35" spans="1:4" ht="12.75" customHeight="1">
      <c r="A35" s="957" t="s">
        <v>1224</v>
      </c>
      <c r="B35" s="79">
        <v>1907</v>
      </c>
      <c r="C35" s="85">
        <v>158143</v>
      </c>
      <c r="D35" s="1517">
        <f>SUM(B35:C35)</f>
        <v>160050</v>
      </c>
    </row>
    <row r="36" spans="1:4" ht="12.75" customHeight="1">
      <c r="A36" s="957" t="s">
        <v>1197</v>
      </c>
      <c r="B36" s="79">
        <v>1925</v>
      </c>
      <c r="C36" s="85">
        <v>75231</v>
      </c>
      <c r="D36" s="1517">
        <f>SUM(B36:C36)</f>
        <v>77156</v>
      </c>
    </row>
    <row r="37" spans="1:4" ht="12.75" customHeight="1">
      <c r="A37" s="957" t="s">
        <v>1198</v>
      </c>
      <c r="B37" s="79">
        <v>2674</v>
      </c>
      <c r="C37" s="85">
        <v>51595</v>
      </c>
      <c r="D37" s="1517">
        <f>SUM(B37:C37)</f>
        <v>54269</v>
      </c>
    </row>
    <row r="38" spans="1:4" ht="12.75" customHeight="1">
      <c r="A38" s="956" t="s">
        <v>25</v>
      </c>
      <c r="B38" s="170">
        <f>SUM(B39:B48)</f>
        <v>65051</v>
      </c>
      <c r="C38" s="192">
        <f>SUM(C39:C48)</f>
        <v>1325535</v>
      </c>
      <c r="D38" s="171">
        <f>SUM(D39:D48)</f>
        <v>1390586</v>
      </c>
    </row>
    <row r="39" spans="1:4" ht="12.75" customHeight="1">
      <c r="A39" s="957" t="s">
        <v>1225</v>
      </c>
      <c r="B39" s="372">
        <v>3496</v>
      </c>
      <c r="C39" s="85">
        <v>73527</v>
      </c>
      <c r="D39" s="1517">
        <f t="shared" ref="D39:D53" si="1">SUM(B39:C39)</f>
        <v>77023</v>
      </c>
    </row>
    <row r="40" spans="1:4" ht="12.75" customHeight="1">
      <c r="A40" s="957" t="s">
        <v>1226</v>
      </c>
      <c r="B40" s="79">
        <v>2919</v>
      </c>
      <c r="C40" s="85">
        <v>209267</v>
      </c>
      <c r="D40" s="1517">
        <f t="shared" si="1"/>
        <v>212186</v>
      </c>
    </row>
    <row r="41" spans="1:4" ht="12.75" customHeight="1">
      <c r="A41" s="957" t="s">
        <v>837</v>
      </c>
      <c r="B41" s="79">
        <v>1089</v>
      </c>
      <c r="C41" s="85">
        <v>27348</v>
      </c>
      <c r="D41" s="1517">
        <f t="shared" si="1"/>
        <v>28437</v>
      </c>
    </row>
    <row r="42" spans="1:4" ht="12.75" customHeight="1">
      <c r="A42" s="957" t="s">
        <v>1203</v>
      </c>
      <c r="B42" s="372">
        <v>4219</v>
      </c>
      <c r="C42" s="393">
        <v>172533</v>
      </c>
      <c r="D42" s="1517">
        <f t="shared" si="1"/>
        <v>176752</v>
      </c>
    </row>
    <row r="43" spans="1:4" ht="12.75" customHeight="1">
      <c r="A43" s="957" t="s">
        <v>1204</v>
      </c>
      <c r="B43" s="79">
        <v>2132</v>
      </c>
      <c r="C43" s="85">
        <v>95472</v>
      </c>
      <c r="D43" s="1517">
        <f t="shared" si="1"/>
        <v>97604</v>
      </c>
    </row>
    <row r="44" spans="1:4" ht="12.75" customHeight="1">
      <c r="A44" s="957" t="s">
        <v>1744</v>
      </c>
      <c r="B44" s="79">
        <v>1531</v>
      </c>
      <c r="C44" s="85">
        <v>141941</v>
      </c>
      <c r="D44" s="1517">
        <f t="shared" si="1"/>
        <v>143472</v>
      </c>
    </row>
    <row r="45" spans="1:4" ht="12.75" customHeight="1">
      <c r="A45" s="957" t="s">
        <v>1745</v>
      </c>
      <c r="B45" s="79">
        <v>1751</v>
      </c>
      <c r="C45" s="85">
        <v>182116</v>
      </c>
      <c r="D45" s="1517">
        <f t="shared" si="1"/>
        <v>183867</v>
      </c>
    </row>
    <row r="46" spans="1:4" ht="12.75" customHeight="1">
      <c r="A46" s="957" t="s">
        <v>1227</v>
      </c>
      <c r="B46" s="372">
        <v>4502</v>
      </c>
      <c r="C46" s="393">
        <v>119814</v>
      </c>
      <c r="D46" s="1517">
        <f t="shared" si="1"/>
        <v>124316</v>
      </c>
    </row>
    <row r="47" spans="1:4" ht="12.75" customHeight="1">
      <c r="A47" s="957" t="s">
        <v>1228</v>
      </c>
      <c r="B47" s="79">
        <v>7125</v>
      </c>
      <c r="C47" s="85">
        <v>109803</v>
      </c>
      <c r="D47" s="1517">
        <f>SUM(B47:C47)</f>
        <v>116928</v>
      </c>
    </row>
    <row r="48" spans="1:4" ht="12.75" customHeight="1">
      <c r="A48" s="957" t="s">
        <v>863</v>
      </c>
      <c r="B48" s="79">
        <v>36287</v>
      </c>
      <c r="C48" s="85">
        <v>193714</v>
      </c>
      <c r="D48" s="1517">
        <f t="shared" si="1"/>
        <v>230001</v>
      </c>
    </row>
    <row r="49" spans="1:5" ht="12.75" customHeight="1">
      <c r="A49" s="956" t="s">
        <v>317</v>
      </c>
      <c r="B49" s="171">
        <f>SUM(B50:B53)</f>
        <v>28707</v>
      </c>
      <c r="C49" s="171">
        <f>SUM(C50:C53)</f>
        <v>405501</v>
      </c>
      <c r="D49" s="171">
        <f>SUM(D50:D53)</f>
        <v>434208</v>
      </c>
    </row>
    <row r="50" spans="1:5" ht="12.75" customHeight="1">
      <c r="A50" s="957" t="s">
        <v>1205</v>
      </c>
      <c r="B50" s="79">
        <v>14110</v>
      </c>
      <c r="C50" s="85">
        <v>177458</v>
      </c>
      <c r="D50" s="1517">
        <f>SUM(B50:C50)</f>
        <v>191568</v>
      </c>
    </row>
    <row r="51" spans="1:5" ht="12.75" customHeight="1">
      <c r="A51" s="957" t="s">
        <v>1206</v>
      </c>
      <c r="B51" s="79">
        <v>4163</v>
      </c>
      <c r="C51" s="85">
        <v>62306</v>
      </c>
      <c r="D51" s="1517">
        <f t="shared" si="1"/>
        <v>66469</v>
      </c>
    </row>
    <row r="52" spans="1:5" ht="12.75" customHeight="1">
      <c r="A52" s="957" t="s">
        <v>1207</v>
      </c>
      <c r="B52" s="79">
        <v>6619</v>
      </c>
      <c r="C52" s="85">
        <v>99162</v>
      </c>
      <c r="D52" s="1517">
        <f t="shared" si="1"/>
        <v>105781</v>
      </c>
    </row>
    <row r="53" spans="1:5" ht="12.75" customHeight="1">
      <c r="A53" s="958" t="s">
        <v>1208</v>
      </c>
      <c r="B53" s="263">
        <v>3815</v>
      </c>
      <c r="C53" s="302">
        <v>66575</v>
      </c>
      <c r="D53" s="1525">
        <f t="shared" si="1"/>
        <v>70390</v>
      </c>
    </row>
    <row r="54" spans="1:5" ht="12.4" customHeight="1">
      <c r="A54" s="1526" t="s">
        <v>1312</v>
      </c>
      <c r="B54" s="1205" t="s">
        <v>1124</v>
      </c>
      <c r="C54" s="1869" t="s">
        <v>385</v>
      </c>
      <c r="D54" s="1869"/>
    </row>
    <row r="55" spans="1:5" ht="13.5" customHeight="1">
      <c r="B55" s="1169"/>
      <c r="C55" s="1864" t="s">
        <v>864</v>
      </c>
      <c r="D55" s="1864"/>
    </row>
    <row r="56" spans="1:5" ht="12.4" customHeight="1">
      <c r="B56" s="1169"/>
      <c r="C56" s="1864"/>
      <c r="D56" s="1864"/>
    </row>
    <row r="57" spans="1:5" ht="12.4" customHeight="1">
      <c r="E57" s="318"/>
    </row>
  </sheetData>
  <mergeCells count="5">
    <mergeCell ref="A1:D1"/>
    <mergeCell ref="C55:D56"/>
    <mergeCell ref="A2:D2"/>
    <mergeCell ref="B11:D11"/>
    <mergeCell ref="C54:D54"/>
  </mergeCells>
  <phoneticPr fontId="0" type="noConversion"/>
  <conditionalFormatting sqref="A1:XFD1048576">
    <cfRule type="cellIs" dxfId="26" priority="1" stopIfTrue="1" operator="equal">
      <formula>".."</formula>
    </cfRule>
  </conditionalFormatting>
  <printOptions horizontalCentered="1"/>
  <pageMargins left="0.15" right="0.1" top="0.81" bottom="0.1" header="0.5" footer="0.1"/>
  <pageSetup paperSize="9" orientation="portrait" blackAndWhite="1" r:id="rId1"/>
  <headerFooter alignWithMargins="0"/>
</worksheet>
</file>

<file path=xl/worksheets/sheet27.xml><?xml version="1.0" encoding="utf-8"?>
<worksheet xmlns="http://schemas.openxmlformats.org/spreadsheetml/2006/main" xmlns:r="http://schemas.openxmlformats.org/officeDocument/2006/relationships">
  <dimension ref="A1:G57"/>
  <sheetViews>
    <sheetView topLeftCell="A34" workbookViewId="0">
      <selection activeCell="J11" sqref="J11"/>
    </sheetView>
  </sheetViews>
  <sheetFormatPr defaultRowHeight="12.75"/>
  <cols>
    <col min="1" max="1" width="24.42578125" customWidth="1"/>
    <col min="2" max="2" width="13" customWidth="1"/>
    <col min="3" max="3" width="12.42578125" customWidth="1"/>
    <col min="4" max="4" width="14.28515625" customWidth="1"/>
    <col min="5" max="5" width="15.140625" customWidth="1"/>
  </cols>
  <sheetData>
    <row r="1" spans="1:6">
      <c r="A1" s="1708" t="s">
        <v>211</v>
      </c>
      <c r="B1" s="1708"/>
      <c r="C1" s="1708"/>
      <c r="D1" s="1708"/>
      <c r="E1" s="1708"/>
    </row>
    <row r="2" spans="1:6" ht="30.75" customHeight="1">
      <c r="A2" s="1730" t="str">
        <f>CONCATENATE("Births and Deaths in different Hospitals and Health Centres 
in the district of ",District!$A$1)</f>
        <v>Births and Deaths in different Hospitals and Health Centres 
in the district of South 24-Parganas</v>
      </c>
      <c r="B2" s="1730"/>
      <c r="C2" s="1730"/>
      <c r="D2" s="1730"/>
      <c r="E2" s="1730"/>
    </row>
    <row r="3" spans="1:6">
      <c r="B3" s="7"/>
      <c r="C3" s="3"/>
      <c r="D3" s="3"/>
      <c r="E3" s="543" t="s">
        <v>977</v>
      </c>
    </row>
    <row r="4" spans="1:6" ht="13.5" customHeight="1">
      <c r="A4" s="1874" t="s">
        <v>671</v>
      </c>
      <c r="B4" s="1874" t="s">
        <v>43</v>
      </c>
      <c r="C4" s="1876" t="s">
        <v>1112</v>
      </c>
      <c r="D4" s="1877"/>
      <c r="E4" s="1878"/>
    </row>
    <row r="5" spans="1:6" ht="13.5" customHeight="1">
      <c r="A5" s="1875"/>
      <c r="B5" s="1875"/>
      <c r="C5" s="824" t="s">
        <v>44</v>
      </c>
      <c r="D5" s="823" t="s">
        <v>45</v>
      </c>
      <c r="E5" s="778" t="s">
        <v>958</v>
      </c>
    </row>
    <row r="6" spans="1:6" ht="12" customHeight="1">
      <c r="A6" s="880" t="s">
        <v>928</v>
      </c>
      <c r="B6" s="881" t="s">
        <v>929</v>
      </c>
      <c r="C6" s="880" t="s">
        <v>930</v>
      </c>
      <c r="D6" s="881" t="s">
        <v>931</v>
      </c>
      <c r="E6" s="880" t="s">
        <v>932</v>
      </c>
    </row>
    <row r="7" spans="1:6">
      <c r="A7" s="68">
        <v>2010</v>
      </c>
      <c r="B7" s="91">
        <v>42391</v>
      </c>
      <c r="C7" s="68">
        <v>1365</v>
      </c>
      <c r="D7" s="8">
        <v>16750</v>
      </c>
      <c r="E7" s="91">
        <v>18115</v>
      </c>
    </row>
    <row r="8" spans="1:6">
      <c r="A8" s="68">
        <v>2011</v>
      </c>
      <c r="B8" s="91">
        <v>40110</v>
      </c>
      <c r="C8" s="68">
        <v>1270</v>
      </c>
      <c r="D8" s="8">
        <v>15800</v>
      </c>
      <c r="E8" s="91">
        <v>17070</v>
      </c>
    </row>
    <row r="9" spans="1:6">
      <c r="A9" s="68">
        <v>2012</v>
      </c>
      <c r="B9" s="91">
        <v>37817</v>
      </c>
      <c r="C9" s="68" t="s">
        <v>623</v>
      </c>
      <c r="D9" s="8" t="s">
        <v>624</v>
      </c>
      <c r="E9" s="91" t="s">
        <v>1458</v>
      </c>
    </row>
    <row r="10" spans="1:6" ht="14.25" customHeight="1">
      <c r="A10" s="68">
        <v>2013</v>
      </c>
      <c r="B10" s="91">
        <v>37134</v>
      </c>
      <c r="C10" s="68" t="s">
        <v>857</v>
      </c>
      <c r="D10" s="8" t="s">
        <v>857</v>
      </c>
      <c r="E10" s="91" t="s">
        <v>857</v>
      </c>
    </row>
    <row r="11" spans="1:6">
      <c r="A11" s="69">
        <v>2014</v>
      </c>
      <c r="B11" s="833">
        <f>SUM(B13,B14,B23,B34,B39,B50)</f>
        <v>41693</v>
      </c>
      <c r="C11" s="833">
        <f>IF(SUM(C13,C14,C23,C34,C39,C50)=0,"..",SUM(C13,C14,C23,C34,C39,C50))</f>
        <v>1082</v>
      </c>
      <c r="D11" s="833">
        <f>IF(SUM(D13,D14,D23,D34,D39,D50)=0,"..",SUM(D13,D14,D23,D34,D39,D50))</f>
        <v>15379</v>
      </c>
      <c r="E11" s="833">
        <f>IF(SUM(E13,E14,E23,E34,E39,E50)=0,"..",SUM(E13,E14,E23,E34,E39,E50))</f>
        <v>16461</v>
      </c>
    </row>
    <row r="12" spans="1:6" ht="25.5" customHeight="1">
      <c r="A12" s="1397" t="s">
        <v>1457</v>
      </c>
      <c r="B12" s="1871" t="str">
        <f>"Year : " &amp; A11</f>
        <v>Year : 2014</v>
      </c>
      <c r="C12" s="1872"/>
      <c r="D12" s="1872"/>
      <c r="E12" s="1873"/>
    </row>
    <row r="13" spans="1:6">
      <c r="A13" s="244" t="s">
        <v>1734</v>
      </c>
      <c r="B13" s="1561">
        <v>8933</v>
      </c>
      <c r="C13" s="1562" t="s">
        <v>857</v>
      </c>
      <c r="D13" s="1562" t="s">
        <v>857</v>
      </c>
      <c r="E13" s="1561" t="str">
        <f>IF(SUM(C13:D13)=0,"..",SUM(C13:D13))</f>
        <v>..</v>
      </c>
    </row>
    <row r="14" spans="1:6">
      <c r="A14" s="238" t="s">
        <v>24</v>
      </c>
      <c r="B14" s="186">
        <f>IF(SUM(B15:B22)=0,"..",SUM(B15:B22))</f>
        <v>1215</v>
      </c>
      <c r="C14" s="186">
        <f>IF(SUM(C15:C22)=0,"..",SUM(C15:C22))</f>
        <v>57</v>
      </c>
      <c r="D14" s="186">
        <f>IF(SUM(D15:D22)=0,"..",SUM(D15:D22))</f>
        <v>2936</v>
      </c>
      <c r="E14" s="186">
        <f>IF(SUM(E15:E22)=0,"..",SUM(E15:E22))</f>
        <v>2993</v>
      </c>
      <c r="F14" s="165"/>
    </row>
    <row r="15" spans="1:6">
      <c r="A15" s="222" t="s">
        <v>757</v>
      </c>
      <c r="B15" s="392">
        <v>10</v>
      </c>
      <c r="C15" s="91">
        <v>1</v>
      </c>
      <c r="D15" s="91">
        <v>96</v>
      </c>
      <c r="E15" s="392">
        <f t="shared" ref="E15:E22" si="0">IF(SUM(C15:D15)=0,"..",SUM(C15:D15))</f>
        <v>97</v>
      </c>
      <c r="F15" s="165"/>
    </row>
    <row r="16" spans="1:6">
      <c r="A16" s="222" t="s">
        <v>1214</v>
      </c>
      <c r="B16" s="392">
        <v>401</v>
      </c>
      <c r="C16" s="91">
        <v>15</v>
      </c>
      <c r="D16" s="91">
        <v>683</v>
      </c>
      <c r="E16" s="392">
        <f t="shared" si="0"/>
        <v>698</v>
      </c>
      <c r="F16" s="165"/>
    </row>
    <row r="17" spans="1:6">
      <c r="A17" s="222" t="s">
        <v>1211</v>
      </c>
      <c r="B17" s="392">
        <v>252</v>
      </c>
      <c r="C17" s="91">
        <v>4</v>
      </c>
      <c r="D17" s="91">
        <v>407</v>
      </c>
      <c r="E17" s="392">
        <f t="shared" si="0"/>
        <v>411</v>
      </c>
      <c r="F17" s="165"/>
    </row>
    <row r="18" spans="1:6">
      <c r="A18" s="222" t="s">
        <v>1212</v>
      </c>
      <c r="B18" s="392">
        <v>194</v>
      </c>
      <c r="C18" s="91">
        <v>1</v>
      </c>
      <c r="D18" s="91">
        <v>32</v>
      </c>
      <c r="E18" s="392">
        <f t="shared" si="0"/>
        <v>33</v>
      </c>
      <c r="F18" s="165"/>
    </row>
    <row r="19" spans="1:6">
      <c r="A19" s="222" t="s">
        <v>1213</v>
      </c>
      <c r="B19" s="392">
        <v>358</v>
      </c>
      <c r="C19" s="91">
        <v>32</v>
      </c>
      <c r="D19" s="91">
        <v>163</v>
      </c>
      <c r="E19" s="392">
        <f t="shared" si="0"/>
        <v>195</v>
      </c>
      <c r="F19" s="165"/>
    </row>
    <row r="20" spans="1:6">
      <c r="A20" s="222" t="s">
        <v>1215</v>
      </c>
      <c r="B20" s="91" t="s">
        <v>857</v>
      </c>
      <c r="C20" s="91">
        <v>3</v>
      </c>
      <c r="D20" s="91">
        <v>411</v>
      </c>
      <c r="E20" s="392">
        <f t="shared" si="0"/>
        <v>414</v>
      </c>
      <c r="F20" s="165"/>
    </row>
    <row r="21" spans="1:6">
      <c r="A21" s="222" t="s">
        <v>1216</v>
      </c>
      <c r="B21" s="91" t="s">
        <v>857</v>
      </c>
      <c r="C21" s="91">
        <v>1</v>
      </c>
      <c r="D21" s="91">
        <v>997</v>
      </c>
      <c r="E21" s="392">
        <f t="shared" si="0"/>
        <v>998</v>
      </c>
      <c r="F21" s="165"/>
    </row>
    <row r="22" spans="1:6">
      <c r="A22" s="222" t="s">
        <v>1217</v>
      </c>
      <c r="B22" s="392" t="s">
        <v>857</v>
      </c>
      <c r="C22" s="91" t="s">
        <v>857</v>
      </c>
      <c r="D22" s="91">
        <v>147</v>
      </c>
      <c r="E22" s="392">
        <f t="shared" si="0"/>
        <v>147</v>
      </c>
      <c r="F22" s="165"/>
    </row>
    <row r="23" spans="1:6">
      <c r="A23" s="238" t="s">
        <v>314</v>
      </c>
      <c r="B23" s="186">
        <f>SUM(B24:B33)</f>
        <v>9229</v>
      </c>
      <c r="C23" s="186">
        <f>IF(SUM(C24:C33)=0,"..",SUM(C24:C33))</f>
        <v>375</v>
      </c>
      <c r="D23" s="186">
        <f>IF(SUM(D24:D33)=0,"..",SUM(D24:D33))</f>
        <v>4037</v>
      </c>
      <c r="E23" s="186">
        <f>IF(SUM(E24:E33)=0,"..",SUM(E24:E33))</f>
        <v>4412</v>
      </c>
      <c r="F23" s="165"/>
    </row>
    <row r="24" spans="1:6">
      <c r="A24" s="222" t="s">
        <v>1218</v>
      </c>
      <c r="B24" s="916">
        <v>1749</v>
      </c>
      <c r="C24" s="91">
        <v>61</v>
      </c>
      <c r="D24" s="91">
        <v>780</v>
      </c>
      <c r="E24" s="392">
        <f t="shared" ref="E24:E33" si="1">IF(SUM(C24:D24)=0,"..",SUM(C24:D24))</f>
        <v>841</v>
      </c>
    </row>
    <row r="25" spans="1:6">
      <c r="A25" s="222" t="s">
        <v>759</v>
      </c>
      <c r="B25" s="916">
        <v>1663</v>
      </c>
      <c r="C25" s="91">
        <v>73</v>
      </c>
      <c r="D25" s="91">
        <v>680</v>
      </c>
      <c r="E25" s="392">
        <f t="shared" si="1"/>
        <v>753</v>
      </c>
    </row>
    <row r="26" spans="1:6">
      <c r="A26" s="222" t="s">
        <v>760</v>
      </c>
      <c r="B26" s="916">
        <v>901</v>
      </c>
      <c r="C26" s="91">
        <v>52</v>
      </c>
      <c r="D26" s="91">
        <v>205</v>
      </c>
      <c r="E26" s="392">
        <f t="shared" si="1"/>
        <v>257</v>
      </c>
    </row>
    <row r="27" spans="1:6">
      <c r="A27" s="222" t="s">
        <v>1194</v>
      </c>
      <c r="B27" s="916">
        <v>719</v>
      </c>
      <c r="C27" s="91">
        <v>60</v>
      </c>
      <c r="D27" s="91">
        <v>361</v>
      </c>
      <c r="E27" s="392">
        <f t="shared" si="1"/>
        <v>421</v>
      </c>
    </row>
    <row r="28" spans="1:6">
      <c r="A28" s="222" t="s">
        <v>1221</v>
      </c>
      <c r="B28" s="392">
        <v>120</v>
      </c>
      <c r="C28" s="91">
        <v>37</v>
      </c>
      <c r="D28" s="91">
        <v>697</v>
      </c>
      <c r="E28" s="392">
        <f t="shared" si="1"/>
        <v>734</v>
      </c>
    </row>
    <row r="29" spans="1:6">
      <c r="A29" s="222" t="s">
        <v>761</v>
      </c>
      <c r="B29" s="916">
        <v>393</v>
      </c>
      <c r="C29" s="91">
        <v>85</v>
      </c>
      <c r="D29" s="91">
        <v>536</v>
      </c>
      <c r="E29" s="392">
        <f t="shared" si="1"/>
        <v>621</v>
      </c>
    </row>
    <row r="30" spans="1:6">
      <c r="A30" s="222" t="s">
        <v>762</v>
      </c>
      <c r="B30" s="916">
        <v>463</v>
      </c>
      <c r="C30" s="91">
        <v>1</v>
      </c>
      <c r="D30" s="91">
        <v>316</v>
      </c>
      <c r="E30" s="392">
        <f t="shared" si="1"/>
        <v>317</v>
      </c>
    </row>
    <row r="31" spans="1:6">
      <c r="A31" s="222" t="s">
        <v>836</v>
      </c>
      <c r="B31" s="392" t="s">
        <v>857</v>
      </c>
      <c r="C31" s="392">
        <v>1</v>
      </c>
      <c r="D31" s="392">
        <v>128</v>
      </c>
      <c r="E31" s="392">
        <f t="shared" si="1"/>
        <v>129</v>
      </c>
    </row>
    <row r="32" spans="1:6">
      <c r="A32" s="222" t="s">
        <v>1222</v>
      </c>
      <c r="B32" s="392">
        <v>3221</v>
      </c>
      <c r="C32" s="392">
        <v>5</v>
      </c>
      <c r="D32" s="392">
        <v>334</v>
      </c>
      <c r="E32" s="392">
        <f t="shared" si="1"/>
        <v>339</v>
      </c>
    </row>
    <row r="33" spans="1:7" ht="12.75" customHeight="1">
      <c r="A33" s="222" t="s">
        <v>1736</v>
      </c>
      <c r="B33" s="392" t="s">
        <v>857</v>
      </c>
      <c r="C33" s="392" t="s">
        <v>857</v>
      </c>
      <c r="D33" s="392" t="s">
        <v>857</v>
      </c>
      <c r="E33" s="392" t="str">
        <f t="shared" si="1"/>
        <v>..</v>
      </c>
    </row>
    <row r="34" spans="1:7" ht="12.75" customHeight="1">
      <c r="A34" s="238" t="s">
        <v>315</v>
      </c>
      <c r="B34" s="186">
        <f>SUM(B35:B38)</f>
        <v>3602</v>
      </c>
      <c r="C34" s="186">
        <f t="shared" ref="C34:E34" si="2">SUM(C35:C38)</f>
        <v>54</v>
      </c>
      <c r="D34" s="186">
        <f t="shared" si="2"/>
        <v>751</v>
      </c>
      <c r="E34" s="186">
        <f t="shared" si="2"/>
        <v>805</v>
      </c>
    </row>
    <row r="35" spans="1:7" ht="12.75" customHeight="1">
      <c r="A35" s="222" t="s">
        <v>1223</v>
      </c>
      <c r="B35" s="916">
        <v>2769</v>
      </c>
      <c r="C35" s="91">
        <v>26</v>
      </c>
      <c r="D35" s="91">
        <v>228</v>
      </c>
      <c r="E35" s="392">
        <f>IF(SUM(C35:D35)=0,"..",SUM(C35:D35))</f>
        <v>254</v>
      </c>
    </row>
    <row r="36" spans="1:7" ht="14.25" customHeight="1">
      <c r="A36" s="222" t="s">
        <v>1224</v>
      </c>
      <c r="B36" s="916">
        <v>281</v>
      </c>
      <c r="C36" s="91">
        <v>2</v>
      </c>
      <c r="D36" s="91">
        <v>40</v>
      </c>
      <c r="E36" s="392">
        <f>IF(SUM(C36:D36)=0,"..",SUM(C36:D36))</f>
        <v>42</v>
      </c>
      <c r="G36" s="882"/>
    </row>
    <row r="37" spans="1:7">
      <c r="A37" s="222" t="s">
        <v>1197</v>
      </c>
      <c r="B37" s="916">
        <v>211</v>
      </c>
      <c r="C37" s="91" t="s">
        <v>857</v>
      </c>
      <c r="D37" s="91" t="s">
        <v>857</v>
      </c>
      <c r="E37" s="392" t="str">
        <f>IF(SUM(C37:D37)=0,"..",SUM(C37:D37))</f>
        <v>..</v>
      </c>
    </row>
    <row r="38" spans="1:7">
      <c r="A38" s="222" t="s">
        <v>1198</v>
      </c>
      <c r="B38" s="916">
        <v>341</v>
      </c>
      <c r="C38" s="91">
        <v>26</v>
      </c>
      <c r="D38" s="91">
        <v>483</v>
      </c>
      <c r="E38" s="392">
        <f>IF(SUM(C38:D38)=0,"..",SUM(C38:D38))</f>
        <v>509</v>
      </c>
    </row>
    <row r="39" spans="1:7">
      <c r="A39" s="238" t="s">
        <v>25</v>
      </c>
      <c r="B39" s="192">
        <f>SUM(B40:B49)</f>
        <v>11200</v>
      </c>
      <c r="C39" s="192">
        <f t="shared" ref="C39:E39" si="3">SUM(C40:C49)</f>
        <v>325</v>
      </c>
      <c r="D39" s="192">
        <f t="shared" si="3"/>
        <v>4475</v>
      </c>
      <c r="E39" s="192">
        <f t="shared" si="3"/>
        <v>4800</v>
      </c>
    </row>
    <row r="40" spans="1:7">
      <c r="A40" s="222" t="s">
        <v>1225</v>
      </c>
      <c r="B40" s="916">
        <v>606</v>
      </c>
      <c r="C40" s="91">
        <v>32</v>
      </c>
      <c r="D40" s="91">
        <v>557</v>
      </c>
      <c r="E40" s="392">
        <f t="shared" ref="E40:E49" si="4">IF(SUM(C40:D40)=0,"..",SUM(C40:D40))</f>
        <v>589</v>
      </c>
    </row>
    <row r="41" spans="1:7">
      <c r="A41" s="222" t="s">
        <v>1226</v>
      </c>
      <c r="B41" s="916">
        <v>614</v>
      </c>
      <c r="C41" s="91">
        <v>79</v>
      </c>
      <c r="D41" s="91">
        <v>744</v>
      </c>
      <c r="E41" s="392">
        <f t="shared" si="4"/>
        <v>823</v>
      </c>
    </row>
    <row r="42" spans="1:7">
      <c r="A42" s="222" t="s">
        <v>837</v>
      </c>
      <c r="B42" s="916">
        <v>38</v>
      </c>
      <c r="C42" s="91">
        <v>1</v>
      </c>
      <c r="D42" s="91">
        <v>105</v>
      </c>
      <c r="E42" s="392">
        <f t="shared" si="4"/>
        <v>106</v>
      </c>
    </row>
    <row r="43" spans="1:7">
      <c r="A43" s="222" t="s">
        <v>1203</v>
      </c>
      <c r="B43" s="916">
        <v>623</v>
      </c>
      <c r="C43" s="91" t="s">
        <v>857</v>
      </c>
      <c r="D43" s="91">
        <v>106</v>
      </c>
      <c r="E43" s="392">
        <f t="shared" si="4"/>
        <v>106</v>
      </c>
    </row>
    <row r="44" spans="1:7">
      <c r="A44" s="222" t="s">
        <v>1204</v>
      </c>
      <c r="B44" s="916">
        <v>243</v>
      </c>
      <c r="C44" s="91">
        <v>19</v>
      </c>
      <c r="D44" s="91">
        <v>354</v>
      </c>
      <c r="E44" s="392">
        <f t="shared" si="4"/>
        <v>373</v>
      </c>
    </row>
    <row r="45" spans="1:7">
      <c r="A45" s="222" t="s">
        <v>1744</v>
      </c>
      <c r="B45" s="916">
        <v>243</v>
      </c>
      <c r="C45" s="91">
        <v>64</v>
      </c>
      <c r="D45" s="91">
        <v>506</v>
      </c>
      <c r="E45" s="392">
        <f t="shared" si="4"/>
        <v>570</v>
      </c>
    </row>
    <row r="46" spans="1:7">
      <c r="A46" s="222" t="s">
        <v>1745</v>
      </c>
      <c r="B46" s="916">
        <v>319</v>
      </c>
      <c r="C46" s="91">
        <v>54</v>
      </c>
      <c r="D46" s="91">
        <v>565</v>
      </c>
      <c r="E46" s="392">
        <f t="shared" si="4"/>
        <v>619</v>
      </c>
    </row>
    <row r="47" spans="1:7">
      <c r="A47" s="222" t="s">
        <v>1227</v>
      </c>
      <c r="B47" s="916">
        <v>828</v>
      </c>
      <c r="C47" s="91">
        <v>75</v>
      </c>
      <c r="D47" s="91">
        <v>791</v>
      </c>
      <c r="E47" s="392">
        <f t="shared" si="4"/>
        <v>866</v>
      </c>
    </row>
    <row r="48" spans="1:7">
      <c r="A48" s="222" t="s">
        <v>1228</v>
      </c>
      <c r="B48" s="916">
        <v>1438</v>
      </c>
      <c r="C48" s="91" t="s">
        <v>857</v>
      </c>
      <c r="D48" s="91" t="s">
        <v>857</v>
      </c>
      <c r="E48" s="392" t="str">
        <f t="shared" si="4"/>
        <v>..</v>
      </c>
    </row>
    <row r="49" spans="1:7">
      <c r="A49" s="222" t="s">
        <v>863</v>
      </c>
      <c r="B49" s="392">
        <v>6248</v>
      </c>
      <c r="C49" s="91">
        <v>1</v>
      </c>
      <c r="D49" s="91">
        <v>747</v>
      </c>
      <c r="E49" s="392">
        <f t="shared" si="4"/>
        <v>748</v>
      </c>
    </row>
    <row r="50" spans="1:7">
      <c r="A50" s="238" t="s">
        <v>317</v>
      </c>
      <c r="B50" s="186">
        <f>SUM(B51:B54)</f>
        <v>7514</v>
      </c>
      <c r="C50" s="186">
        <f>IF(SUM(C51:C54)=0,"..",SUM(C51:C54))</f>
        <v>271</v>
      </c>
      <c r="D50" s="186">
        <f t="shared" ref="D50:E50" si="5">IF(SUM(D51:D54)=0,"..",SUM(D51:D54))</f>
        <v>3180</v>
      </c>
      <c r="E50" s="186">
        <f t="shared" si="5"/>
        <v>3451</v>
      </c>
      <c r="F50" s="165"/>
      <c r="G50" s="7"/>
    </row>
    <row r="51" spans="1:7">
      <c r="A51" s="222" t="s">
        <v>1205</v>
      </c>
      <c r="B51" s="916">
        <v>4198</v>
      </c>
      <c r="C51" s="91">
        <v>64</v>
      </c>
      <c r="D51" s="91">
        <v>915</v>
      </c>
      <c r="E51" s="392">
        <f>IF(SUM(C51:D51)=0,"..",SUM(C51:D51))</f>
        <v>979</v>
      </c>
    </row>
    <row r="52" spans="1:7">
      <c r="A52" s="222" t="s">
        <v>1206</v>
      </c>
      <c r="B52" s="916">
        <v>1048</v>
      </c>
      <c r="C52" s="91">
        <v>49</v>
      </c>
      <c r="D52" s="91">
        <v>314</v>
      </c>
      <c r="E52" s="392">
        <f>IF(SUM(C52:D52)=0,"..",SUM(C52:D52))</f>
        <v>363</v>
      </c>
      <c r="G52" s="930"/>
    </row>
    <row r="53" spans="1:7">
      <c r="A53" s="222" t="s">
        <v>1207</v>
      </c>
      <c r="B53" s="916">
        <v>1288</v>
      </c>
      <c r="C53" s="91">
        <v>70</v>
      </c>
      <c r="D53" s="91">
        <v>769</v>
      </c>
      <c r="E53" s="392">
        <f>IF(SUM(C53:D53)=0,"..",SUM(C53:D53))</f>
        <v>839</v>
      </c>
    </row>
    <row r="54" spans="1:7">
      <c r="A54" s="223" t="s">
        <v>1208</v>
      </c>
      <c r="B54" s="1080">
        <v>980</v>
      </c>
      <c r="C54" s="833">
        <v>88</v>
      </c>
      <c r="D54" s="833">
        <v>1182</v>
      </c>
      <c r="E54" s="443">
        <f>IF(SUM(C54:D54)=0,"..",SUM(C54:D54))</f>
        <v>1270</v>
      </c>
    </row>
    <row r="55" spans="1:7">
      <c r="A55" s="1270" t="s">
        <v>1401</v>
      </c>
      <c r="C55" s="1199" t="s">
        <v>610</v>
      </c>
      <c r="D55" s="1870" t="s">
        <v>1459</v>
      </c>
      <c r="E55" s="1870"/>
    </row>
    <row r="56" spans="1:7">
      <c r="C56" s="1065" t="s">
        <v>615</v>
      </c>
      <c r="D56" s="1200" t="s">
        <v>1460</v>
      </c>
      <c r="E56" s="1154"/>
    </row>
    <row r="57" spans="1:7">
      <c r="C57" s="1154"/>
      <c r="D57" s="1154" t="s">
        <v>553</v>
      </c>
      <c r="E57" s="1154"/>
    </row>
  </sheetData>
  <mergeCells count="7">
    <mergeCell ref="D55:E55"/>
    <mergeCell ref="A1:E1"/>
    <mergeCell ref="B12:E12"/>
    <mergeCell ref="A2:E2"/>
    <mergeCell ref="A4:A5"/>
    <mergeCell ref="B4:B5"/>
    <mergeCell ref="C4:E4"/>
  </mergeCells>
  <phoneticPr fontId="0" type="noConversion"/>
  <conditionalFormatting sqref="A1:XFD1048576">
    <cfRule type="cellIs" dxfId="25" priority="1" stopIfTrue="1" operator="equal">
      <formula>".."</formula>
    </cfRule>
  </conditionalFormatting>
  <printOptions horizontalCentered="1"/>
  <pageMargins left="0.15748031496063" right="0.118110236220472" top="0.64" bottom="0.118110236220472" header="0.41" footer="0.118110236220472"/>
  <pageSetup paperSize="9" orientation="portrait" blackAndWhite="1" r:id="rId1"/>
  <headerFooter alignWithMargins="0"/>
</worksheet>
</file>

<file path=xl/worksheets/sheet28.xml><?xml version="1.0" encoding="utf-8"?>
<worksheet xmlns="http://schemas.openxmlformats.org/spreadsheetml/2006/main" xmlns:r="http://schemas.openxmlformats.org/officeDocument/2006/relationships">
  <sheetPr codeName="Sheet26"/>
  <dimension ref="A1:J41"/>
  <sheetViews>
    <sheetView topLeftCell="A13" workbookViewId="0">
      <selection activeCell="J11" sqref="J11"/>
    </sheetView>
  </sheetViews>
  <sheetFormatPr defaultRowHeight="12.75"/>
  <cols>
    <col min="1" max="1" width="2.28515625" customWidth="1"/>
    <col min="2" max="2" width="3" customWidth="1"/>
    <col min="3" max="3" width="1.28515625" customWidth="1"/>
    <col min="4" max="4" width="56.140625" customWidth="1"/>
    <col min="5" max="9" width="14" customWidth="1"/>
  </cols>
  <sheetData>
    <row r="1" spans="1:10">
      <c r="A1" s="1708" t="s">
        <v>351</v>
      </c>
      <c r="B1" s="1708"/>
      <c r="C1" s="1708"/>
      <c r="D1" s="1708"/>
      <c r="E1" s="1708"/>
      <c r="F1" s="1708"/>
      <c r="G1" s="1708"/>
      <c r="H1" s="1708"/>
      <c r="I1" s="1708"/>
    </row>
    <row r="2" spans="1:10" ht="13.5" customHeight="1">
      <c r="A2" s="1771" t="str">
        <f>CONCATENATE("General Educational Institutions by type in the district of ",District!A1)</f>
        <v>General Educational Institutions by type in the district of South 24-Parganas</v>
      </c>
      <c r="B2" s="1771"/>
      <c r="C2" s="1771"/>
      <c r="D2" s="1771"/>
      <c r="E2" s="1771"/>
      <c r="F2" s="1771"/>
      <c r="G2" s="1771"/>
      <c r="H2" s="1771"/>
      <c r="I2" s="1771"/>
    </row>
    <row r="3" spans="1:10">
      <c r="B3" s="7"/>
      <c r="C3" s="7"/>
      <c r="D3" s="7"/>
      <c r="E3" s="7"/>
      <c r="F3" s="7"/>
      <c r="G3" s="7"/>
      <c r="H3" s="7"/>
      <c r="I3" s="92" t="s">
        <v>977</v>
      </c>
    </row>
    <row r="4" spans="1:10">
      <c r="A4" s="1723" t="s">
        <v>370</v>
      </c>
      <c r="B4" s="1890"/>
      <c r="C4" s="1890"/>
      <c r="D4" s="1724"/>
      <c r="E4" s="1891" t="s">
        <v>671</v>
      </c>
      <c r="F4" s="1892"/>
      <c r="G4" s="1892"/>
      <c r="H4" s="1892"/>
      <c r="I4" s="1893"/>
    </row>
    <row r="5" spans="1:10">
      <c r="A5" s="1725"/>
      <c r="B5" s="1741"/>
      <c r="C5" s="1741"/>
      <c r="D5" s="1726"/>
      <c r="E5" s="665" t="s">
        <v>1317</v>
      </c>
      <c r="F5" s="665" t="s">
        <v>221</v>
      </c>
      <c r="G5" s="665" t="s">
        <v>1301</v>
      </c>
      <c r="H5" s="665" t="s">
        <v>621</v>
      </c>
      <c r="I5" s="665" t="s">
        <v>206</v>
      </c>
    </row>
    <row r="6" spans="1:10">
      <c r="A6" s="1894" t="s">
        <v>928</v>
      </c>
      <c r="B6" s="1895"/>
      <c r="C6" s="1895"/>
      <c r="D6" s="1896"/>
      <c r="E6" s="131" t="s">
        <v>929</v>
      </c>
      <c r="F6" s="130" t="s">
        <v>930</v>
      </c>
      <c r="G6" s="131" t="s">
        <v>931</v>
      </c>
      <c r="H6" s="130" t="s">
        <v>932</v>
      </c>
      <c r="I6" s="132" t="s">
        <v>933</v>
      </c>
    </row>
    <row r="7" spans="1:10">
      <c r="A7" s="768" t="s">
        <v>1375</v>
      </c>
      <c r="B7" s="1882" t="s">
        <v>472</v>
      </c>
      <c r="C7" s="1882"/>
      <c r="D7" s="1883"/>
      <c r="E7" s="173">
        <f>E8+E13+E18+E23</f>
        <v>4497</v>
      </c>
      <c r="F7" s="173">
        <f>F8+F13+F18+F23</f>
        <v>4507</v>
      </c>
      <c r="G7" s="173">
        <f>G8+G13+G18+G23</f>
        <v>4530</v>
      </c>
      <c r="H7" s="173">
        <f>H8+H13+H18+H23</f>
        <v>4766</v>
      </c>
      <c r="I7" s="173">
        <f>I8+I13+I18+I23</f>
        <v>4796</v>
      </c>
    </row>
    <row r="8" spans="1:10" ht="12.75" customHeight="1">
      <c r="A8" s="27"/>
      <c r="B8" s="240" t="s">
        <v>1147</v>
      </c>
      <c r="C8" s="1888" t="s">
        <v>497</v>
      </c>
      <c r="D8" s="1889"/>
      <c r="E8" s="174">
        <f>SUM(E9:E12)</f>
        <v>3689</v>
      </c>
      <c r="F8" s="174">
        <f>SUM(F9:F12)</f>
        <v>3699</v>
      </c>
      <c r="G8" s="174">
        <f>SUM(G9:G12)</f>
        <v>3722</v>
      </c>
      <c r="H8" s="174">
        <f>SUM(H9:H12)</f>
        <v>3731</v>
      </c>
      <c r="I8" s="174">
        <f>SUM(I9:I12)</f>
        <v>3756</v>
      </c>
      <c r="J8" s="138"/>
    </row>
    <row r="9" spans="1:10">
      <c r="A9" s="27"/>
      <c r="B9" s="7"/>
      <c r="C9" s="7"/>
      <c r="D9" s="158" t="s">
        <v>1141</v>
      </c>
      <c r="E9" s="62">
        <v>3680</v>
      </c>
      <c r="F9" s="62">
        <v>3691</v>
      </c>
      <c r="G9" s="62">
        <v>3714</v>
      </c>
      <c r="H9" s="62">
        <v>3723</v>
      </c>
      <c r="I9" s="62">
        <v>3748</v>
      </c>
    </row>
    <row r="10" spans="1:10">
      <c r="A10" s="27"/>
      <c r="B10" s="7"/>
      <c r="C10" s="7"/>
      <c r="D10" s="158" t="s">
        <v>1142</v>
      </c>
      <c r="E10" s="62" t="s">
        <v>1229</v>
      </c>
      <c r="F10" s="62" t="s">
        <v>1229</v>
      </c>
      <c r="G10" s="62" t="s">
        <v>1229</v>
      </c>
      <c r="H10" s="62" t="s">
        <v>1229</v>
      </c>
      <c r="I10" s="62" t="s">
        <v>1229</v>
      </c>
    </row>
    <row r="11" spans="1:10">
      <c r="A11" s="27"/>
      <c r="B11" s="7"/>
      <c r="C11" s="7"/>
      <c r="D11" s="158" t="s">
        <v>611</v>
      </c>
      <c r="E11" s="62">
        <v>7</v>
      </c>
      <c r="F11" s="62">
        <v>7</v>
      </c>
      <c r="G11" s="62">
        <v>7</v>
      </c>
      <c r="H11" s="62">
        <v>7</v>
      </c>
      <c r="I11" s="62">
        <v>7</v>
      </c>
    </row>
    <row r="12" spans="1:10">
      <c r="A12" s="27"/>
      <c r="B12" s="7"/>
      <c r="C12" s="7"/>
      <c r="D12" s="158" t="s">
        <v>80</v>
      </c>
      <c r="E12" s="62">
        <v>2</v>
      </c>
      <c r="F12" s="62">
        <v>1</v>
      </c>
      <c r="G12" s="62">
        <v>1</v>
      </c>
      <c r="H12" s="62">
        <v>1</v>
      </c>
      <c r="I12" s="62">
        <v>1</v>
      </c>
    </row>
    <row r="13" spans="1:10" ht="12.75" customHeight="1">
      <c r="A13" s="27"/>
      <c r="B13" s="240" t="s">
        <v>1145</v>
      </c>
      <c r="C13" s="1886" t="s">
        <v>498</v>
      </c>
      <c r="D13" s="1887"/>
      <c r="E13" s="239">
        <f>SUM(E14:E17)</f>
        <v>60</v>
      </c>
      <c r="F13" s="239">
        <f>SUM(F14:F17)</f>
        <v>55</v>
      </c>
      <c r="G13" s="239">
        <f>SUM(G14:G17)</f>
        <v>41</v>
      </c>
      <c r="H13" s="239">
        <f>SUM(H14:H17)</f>
        <v>267</v>
      </c>
      <c r="I13" s="239">
        <f>SUM(I14:I17)</f>
        <v>264</v>
      </c>
    </row>
    <row r="14" spans="1:10">
      <c r="A14" s="27"/>
      <c r="B14" s="7"/>
      <c r="C14" s="7"/>
      <c r="D14" s="158" t="s">
        <v>866</v>
      </c>
      <c r="E14" s="62">
        <v>56</v>
      </c>
      <c r="F14" s="62">
        <v>51</v>
      </c>
      <c r="G14" s="62">
        <v>37</v>
      </c>
      <c r="H14" s="62">
        <v>263</v>
      </c>
      <c r="I14" s="62">
        <v>263</v>
      </c>
    </row>
    <row r="15" spans="1:10">
      <c r="A15" s="27"/>
      <c r="B15" s="7"/>
      <c r="C15" s="7"/>
      <c r="D15" s="158" t="s">
        <v>718</v>
      </c>
      <c r="E15" s="62">
        <v>1</v>
      </c>
      <c r="F15" s="62">
        <v>1</v>
      </c>
      <c r="G15" s="62">
        <v>1</v>
      </c>
      <c r="H15" s="62">
        <v>1</v>
      </c>
      <c r="I15" s="62">
        <v>1</v>
      </c>
    </row>
    <row r="16" spans="1:10">
      <c r="A16" s="27"/>
      <c r="B16" s="7"/>
      <c r="C16" s="7"/>
      <c r="D16" s="158" t="s">
        <v>611</v>
      </c>
      <c r="E16" s="62">
        <v>3</v>
      </c>
      <c r="F16" s="62">
        <v>3</v>
      </c>
      <c r="G16" s="62">
        <v>3</v>
      </c>
      <c r="H16" s="62">
        <v>3</v>
      </c>
      <c r="I16" s="1628" t="s">
        <v>1229</v>
      </c>
    </row>
    <row r="17" spans="1:9">
      <c r="A17" s="27"/>
      <c r="B17" s="7"/>
      <c r="C17" s="7"/>
      <c r="D17" s="158" t="s">
        <v>80</v>
      </c>
      <c r="E17" s="62" t="s">
        <v>1229</v>
      </c>
      <c r="F17" s="62" t="s">
        <v>1229</v>
      </c>
      <c r="G17" s="62" t="s">
        <v>1229</v>
      </c>
      <c r="H17" s="62" t="s">
        <v>1229</v>
      </c>
      <c r="I17" s="62" t="s">
        <v>1229</v>
      </c>
    </row>
    <row r="18" spans="1:9" ht="14.25" customHeight="1">
      <c r="A18" s="27"/>
      <c r="B18" s="240" t="s">
        <v>1146</v>
      </c>
      <c r="C18" s="1888" t="s">
        <v>499</v>
      </c>
      <c r="D18" s="1889"/>
      <c r="E18" s="169">
        <f>SUM(E19:E22)</f>
        <v>415</v>
      </c>
      <c r="F18" s="467">
        <f>SUM(F19:F22)</f>
        <v>408</v>
      </c>
      <c r="G18" s="169">
        <f>SUM(G19:G22)</f>
        <v>401</v>
      </c>
      <c r="H18" s="169">
        <f>SUM(H19:H22)</f>
        <v>337</v>
      </c>
      <c r="I18" s="169">
        <v>275</v>
      </c>
    </row>
    <row r="19" spans="1:9">
      <c r="A19" s="27"/>
      <c r="B19" s="7"/>
      <c r="C19" s="7"/>
      <c r="D19" s="158" t="s">
        <v>719</v>
      </c>
      <c r="E19" s="62">
        <v>382</v>
      </c>
      <c r="F19" s="62">
        <v>377</v>
      </c>
      <c r="G19" s="62">
        <v>371</v>
      </c>
      <c r="H19" s="62">
        <v>311</v>
      </c>
      <c r="I19" s="62">
        <v>259</v>
      </c>
    </row>
    <row r="20" spans="1:9">
      <c r="A20" s="27"/>
      <c r="B20" s="7"/>
      <c r="C20" s="7"/>
      <c r="D20" s="158" t="s">
        <v>47</v>
      </c>
      <c r="E20" s="62">
        <v>27</v>
      </c>
      <c r="F20" s="62">
        <v>25</v>
      </c>
      <c r="G20" s="62">
        <v>24</v>
      </c>
      <c r="H20" s="62">
        <v>20</v>
      </c>
      <c r="I20" s="62">
        <v>15</v>
      </c>
    </row>
    <row r="21" spans="1:9">
      <c r="A21" s="27"/>
      <c r="B21" s="7"/>
      <c r="C21" s="7"/>
      <c r="D21" s="158" t="s">
        <v>1144</v>
      </c>
      <c r="E21" s="62">
        <v>6</v>
      </c>
      <c r="F21" s="62">
        <v>6</v>
      </c>
      <c r="G21" s="62">
        <v>6</v>
      </c>
      <c r="H21" s="62">
        <v>6</v>
      </c>
      <c r="I21" s="62">
        <v>1</v>
      </c>
    </row>
    <row r="22" spans="1:9">
      <c r="A22" s="27"/>
      <c r="B22" s="7"/>
      <c r="C22" s="7"/>
      <c r="D22" s="158" t="s">
        <v>80</v>
      </c>
      <c r="E22" s="62" t="s">
        <v>1229</v>
      </c>
      <c r="F22" s="62" t="s">
        <v>1229</v>
      </c>
      <c r="G22" s="62" t="s">
        <v>1229</v>
      </c>
      <c r="H22" s="62" t="s">
        <v>1229</v>
      </c>
      <c r="I22" s="62" t="s">
        <v>1229</v>
      </c>
    </row>
    <row r="23" spans="1:9" ht="26.25" customHeight="1">
      <c r="A23" s="27"/>
      <c r="B23" s="240" t="s">
        <v>1148</v>
      </c>
      <c r="C23" s="1888" t="s">
        <v>572</v>
      </c>
      <c r="D23" s="1889"/>
      <c r="E23" s="955">
        <f>SUM(E24:E28)</f>
        <v>333</v>
      </c>
      <c r="F23" s="966">
        <f>SUM(F24:F28)</f>
        <v>345</v>
      </c>
      <c r="G23" s="955">
        <f>SUM(G24:G28)</f>
        <v>366</v>
      </c>
      <c r="H23" s="955">
        <f>SUM(H24:H28)</f>
        <v>431</v>
      </c>
      <c r="I23" s="955">
        <f>SUM(I24:I28)</f>
        <v>501</v>
      </c>
    </row>
    <row r="24" spans="1:9">
      <c r="A24" s="27"/>
      <c r="B24" s="7"/>
      <c r="C24" s="7"/>
      <c r="D24" s="158" t="s">
        <v>720</v>
      </c>
      <c r="E24" s="62">
        <v>303</v>
      </c>
      <c r="F24" s="62">
        <v>313</v>
      </c>
      <c r="G24" s="62">
        <v>333</v>
      </c>
      <c r="H24" s="62">
        <v>397</v>
      </c>
      <c r="I24" s="62">
        <v>460</v>
      </c>
    </row>
    <row r="25" spans="1:9">
      <c r="A25" s="27"/>
      <c r="B25" s="7"/>
      <c r="C25" s="7"/>
      <c r="D25" s="158" t="s">
        <v>721</v>
      </c>
      <c r="E25" s="62">
        <v>3</v>
      </c>
      <c r="F25" s="62">
        <v>3</v>
      </c>
      <c r="G25" s="62">
        <v>3</v>
      </c>
      <c r="H25" s="62" t="s">
        <v>1229</v>
      </c>
      <c r="I25" s="62">
        <v>1</v>
      </c>
    </row>
    <row r="26" spans="1:9">
      <c r="A26" s="27"/>
      <c r="B26" s="7"/>
      <c r="C26" s="7"/>
      <c r="D26" s="158" t="s">
        <v>611</v>
      </c>
      <c r="E26" s="62">
        <v>5</v>
      </c>
      <c r="F26" s="62">
        <v>5</v>
      </c>
      <c r="G26" s="62">
        <v>5</v>
      </c>
      <c r="H26" s="62">
        <v>5</v>
      </c>
      <c r="I26" s="62">
        <v>6</v>
      </c>
    </row>
    <row r="27" spans="1:9">
      <c r="A27" s="27"/>
      <c r="B27" s="7"/>
      <c r="C27" s="7"/>
      <c r="D27" s="158" t="s">
        <v>80</v>
      </c>
      <c r="E27" s="62" t="s">
        <v>1229</v>
      </c>
      <c r="F27" s="62" t="s">
        <v>1229</v>
      </c>
      <c r="G27" s="62" t="s">
        <v>1229</v>
      </c>
      <c r="H27" s="62" t="s">
        <v>1229</v>
      </c>
      <c r="I27" s="62" t="s">
        <v>1229</v>
      </c>
    </row>
    <row r="28" spans="1:9">
      <c r="A28" s="27"/>
      <c r="B28" s="7"/>
      <c r="C28" s="7"/>
      <c r="D28" s="158" t="s">
        <v>1150</v>
      </c>
      <c r="E28" s="62">
        <v>22</v>
      </c>
      <c r="F28" s="62">
        <v>24</v>
      </c>
      <c r="G28" s="62">
        <v>25</v>
      </c>
      <c r="H28" s="62">
        <v>29</v>
      </c>
      <c r="I28" s="62">
        <v>34</v>
      </c>
    </row>
    <row r="29" spans="1:9">
      <c r="A29" s="834" t="s">
        <v>1376</v>
      </c>
      <c r="B29" s="831" t="s">
        <v>473</v>
      </c>
      <c r="C29" s="224"/>
      <c r="D29" s="225"/>
      <c r="E29" s="166">
        <v>38</v>
      </c>
      <c r="F29" s="166">
        <v>38</v>
      </c>
      <c r="G29" s="166">
        <v>38</v>
      </c>
      <c r="H29" s="166">
        <v>38</v>
      </c>
      <c r="I29" s="166">
        <v>38</v>
      </c>
    </row>
    <row r="30" spans="1:9" ht="26.25" customHeight="1">
      <c r="A30" s="904" t="s">
        <v>1377</v>
      </c>
      <c r="B30" s="1879" t="s">
        <v>187</v>
      </c>
      <c r="C30" s="1880"/>
      <c r="D30" s="1881"/>
      <c r="E30" s="1310" t="s">
        <v>1229</v>
      </c>
      <c r="F30" s="1310" t="s">
        <v>1229</v>
      </c>
      <c r="G30" s="1310" t="s">
        <v>1229</v>
      </c>
      <c r="H30" s="1310" t="s">
        <v>1229</v>
      </c>
      <c r="I30" s="1310" t="s">
        <v>1229</v>
      </c>
    </row>
    <row r="31" spans="1:9">
      <c r="A31" s="1016" t="s">
        <v>1378</v>
      </c>
      <c r="B31" s="1884" t="s">
        <v>474</v>
      </c>
      <c r="C31" s="1884"/>
      <c r="D31" s="1885"/>
      <c r="E31" s="1243">
        <v>9</v>
      </c>
      <c r="F31" s="1243">
        <v>8</v>
      </c>
      <c r="G31" s="1243">
        <v>8</v>
      </c>
      <c r="H31" s="1243">
        <v>8</v>
      </c>
      <c r="I31" s="1243">
        <v>10</v>
      </c>
    </row>
    <row r="32" spans="1:9">
      <c r="A32" s="50"/>
      <c r="B32" s="50"/>
      <c r="C32" s="50"/>
      <c r="D32" s="168"/>
      <c r="F32" s="1163" t="s">
        <v>1446</v>
      </c>
      <c r="G32" s="1017" t="s">
        <v>386</v>
      </c>
      <c r="H32" s="102"/>
      <c r="I32" s="102"/>
    </row>
    <row r="33" spans="1:9">
      <c r="A33" s="50"/>
      <c r="B33" s="50"/>
      <c r="C33" s="50"/>
      <c r="D33" s="50"/>
      <c r="F33" s="1017"/>
      <c r="G33" s="1017" t="s">
        <v>387</v>
      </c>
      <c r="H33" s="102"/>
      <c r="I33" s="102"/>
    </row>
    <row r="34" spans="1:9">
      <c r="A34" s="50"/>
      <c r="B34" s="50"/>
      <c r="C34" s="50"/>
      <c r="D34" s="50"/>
      <c r="F34" s="1017"/>
      <c r="G34" s="1014" t="s">
        <v>215</v>
      </c>
      <c r="H34" s="104"/>
      <c r="I34" s="104"/>
    </row>
    <row r="35" spans="1:9">
      <c r="A35" s="50"/>
      <c r="B35" s="50"/>
      <c r="C35" s="50"/>
      <c r="D35" s="50"/>
      <c r="F35" s="1017"/>
      <c r="G35" s="1014" t="s">
        <v>494</v>
      </c>
      <c r="H35" s="104"/>
      <c r="I35" s="104"/>
    </row>
    <row r="36" spans="1:9">
      <c r="A36" s="50"/>
      <c r="B36" s="50"/>
      <c r="C36" s="50"/>
      <c r="D36" s="50"/>
      <c r="F36" s="1017"/>
      <c r="G36" s="1017" t="s">
        <v>1149</v>
      </c>
      <c r="H36" s="102"/>
      <c r="I36" s="102"/>
    </row>
    <row r="37" spans="1:9">
      <c r="A37" s="50"/>
      <c r="B37" s="50"/>
      <c r="C37" s="50"/>
      <c r="D37" s="50"/>
      <c r="F37" s="1017"/>
      <c r="G37" s="1017" t="s">
        <v>573</v>
      </c>
      <c r="H37" s="102"/>
      <c r="I37" s="102"/>
    </row>
    <row r="38" spans="1:9">
      <c r="A38" s="50"/>
      <c r="B38" s="50"/>
      <c r="C38" s="50"/>
      <c r="D38" s="50"/>
      <c r="F38" s="1017"/>
      <c r="G38" s="1017" t="s">
        <v>1408</v>
      </c>
      <c r="H38" s="102"/>
      <c r="I38" s="102"/>
    </row>
    <row r="39" spans="1:9">
      <c r="A39" s="50"/>
      <c r="B39" s="50"/>
      <c r="C39" s="50"/>
      <c r="D39" s="50"/>
      <c r="E39" s="102"/>
      <c r="F39" s="1171" t="s">
        <v>262</v>
      </c>
      <c r="G39" s="1017"/>
      <c r="H39" s="102"/>
      <c r="I39" s="102"/>
    </row>
    <row r="40" spans="1:9">
      <c r="A40" s="50"/>
      <c r="B40" s="50"/>
      <c r="C40" s="50"/>
      <c r="D40" s="50"/>
      <c r="E40" s="50"/>
      <c r="F40" s="50"/>
      <c r="G40" s="50"/>
      <c r="H40" s="50"/>
      <c r="I40" s="50"/>
    </row>
    <row r="41" spans="1:9">
      <c r="A41" s="50"/>
      <c r="B41" s="50"/>
      <c r="C41" s="50"/>
      <c r="D41" s="50"/>
      <c r="E41" s="50"/>
      <c r="F41" s="50"/>
      <c r="G41" s="50"/>
      <c r="H41" s="50"/>
      <c r="I41" s="50"/>
    </row>
  </sheetData>
  <mergeCells count="12">
    <mergeCell ref="A1:I1"/>
    <mergeCell ref="B30:D30"/>
    <mergeCell ref="B7:D7"/>
    <mergeCell ref="B31:D31"/>
    <mergeCell ref="A2:I2"/>
    <mergeCell ref="C13:D13"/>
    <mergeCell ref="C18:D18"/>
    <mergeCell ref="C23:D23"/>
    <mergeCell ref="A4:D5"/>
    <mergeCell ref="E4:I4"/>
    <mergeCell ref="A6:D6"/>
    <mergeCell ref="C8:D8"/>
  </mergeCells>
  <phoneticPr fontId="0" type="noConversion"/>
  <printOptions horizontalCentered="1"/>
  <pageMargins left="0.1" right="0.1" top="0.65" bottom="0.1" header="0.39" footer="0.1"/>
  <pageSetup paperSize="9" orientation="landscape" blackAndWhite="1" r:id="rId1"/>
  <headerFooter alignWithMargins="0"/>
</worksheet>
</file>

<file path=xl/worksheets/sheet29.xml><?xml version="1.0" encoding="utf-8"?>
<worksheet xmlns="http://schemas.openxmlformats.org/spreadsheetml/2006/main" xmlns:r="http://schemas.openxmlformats.org/officeDocument/2006/relationships">
  <sheetPr codeName="Sheet27"/>
  <dimension ref="A1:I41"/>
  <sheetViews>
    <sheetView topLeftCell="A19" workbookViewId="0">
      <selection activeCell="J11" sqref="J11"/>
    </sheetView>
  </sheetViews>
  <sheetFormatPr defaultRowHeight="12.75"/>
  <cols>
    <col min="1" max="1" width="2.140625" customWidth="1"/>
    <col min="2" max="2" width="2.85546875" customWidth="1"/>
    <col min="3" max="3" width="1" customWidth="1"/>
    <col min="4" max="4" width="54.42578125" customWidth="1"/>
    <col min="5" max="9" width="14.5703125" customWidth="1"/>
  </cols>
  <sheetData>
    <row r="1" spans="1:9">
      <c r="A1" s="1899" t="s">
        <v>352</v>
      </c>
      <c r="B1" s="1899"/>
      <c r="C1" s="1899"/>
      <c r="D1" s="1899"/>
      <c r="E1" s="1899"/>
      <c r="F1" s="1899"/>
      <c r="G1" s="1899"/>
      <c r="H1" s="1899"/>
      <c r="I1" s="1899"/>
    </row>
    <row r="2" spans="1:9" ht="14.25" customHeight="1">
      <c r="A2" s="1760" t="str">
        <f>CONCATENATE("Professional &amp; Technical Educational Institutions by type in the district of ",District!A1)</f>
        <v>Professional &amp; Technical Educational Institutions by type in the district of South 24-Parganas</v>
      </c>
      <c r="B2" s="1760"/>
      <c r="C2" s="1760"/>
      <c r="D2" s="1760"/>
      <c r="E2" s="1760"/>
      <c r="F2" s="1760"/>
      <c r="G2" s="1760"/>
      <c r="H2" s="1760"/>
      <c r="I2" s="1760"/>
    </row>
    <row r="3" spans="1:9">
      <c r="B3" s="98"/>
      <c r="D3" s="98"/>
      <c r="I3" s="92" t="s">
        <v>977</v>
      </c>
    </row>
    <row r="4" spans="1:9">
      <c r="A4" s="1723" t="s">
        <v>370</v>
      </c>
      <c r="B4" s="1900"/>
      <c r="C4" s="1900"/>
      <c r="D4" s="1901"/>
      <c r="E4" s="1891" t="s">
        <v>671</v>
      </c>
      <c r="F4" s="1892"/>
      <c r="G4" s="1892"/>
      <c r="H4" s="1892"/>
      <c r="I4" s="1893"/>
    </row>
    <row r="5" spans="1:9">
      <c r="A5" s="1902"/>
      <c r="B5" s="1903"/>
      <c r="C5" s="1903"/>
      <c r="D5" s="1904"/>
      <c r="E5" s="665" t="s">
        <v>1317</v>
      </c>
      <c r="F5" s="665" t="s">
        <v>221</v>
      </c>
      <c r="G5" s="665" t="s">
        <v>1301</v>
      </c>
      <c r="H5" s="665" t="s">
        <v>621</v>
      </c>
      <c r="I5" s="665" t="s">
        <v>206</v>
      </c>
    </row>
    <row r="6" spans="1:9">
      <c r="A6" s="1894" t="s">
        <v>928</v>
      </c>
      <c r="B6" s="1895"/>
      <c r="C6" s="1895"/>
      <c r="D6" s="1896"/>
      <c r="E6" s="132" t="s">
        <v>929</v>
      </c>
      <c r="F6" s="131" t="s">
        <v>930</v>
      </c>
      <c r="G6" s="130" t="s">
        <v>931</v>
      </c>
      <c r="H6" s="130" t="s">
        <v>932</v>
      </c>
      <c r="I6" s="130" t="s">
        <v>933</v>
      </c>
    </row>
    <row r="7" spans="1:9">
      <c r="A7" s="769" t="s">
        <v>1375</v>
      </c>
      <c r="B7" s="1909" t="s">
        <v>243</v>
      </c>
      <c r="C7" s="1909"/>
      <c r="D7" s="1910"/>
      <c r="E7" s="175">
        <f>SUM(E8,E13,E16)</f>
        <v>6</v>
      </c>
      <c r="F7" s="175">
        <f>SUM(F8,F13,F16)</f>
        <v>6</v>
      </c>
      <c r="G7" s="175">
        <f>SUM(G8,G13,G16)</f>
        <v>6</v>
      </c>
      <c r="H7" s="175">
        <f>SUM(H8,H13,H16)</f>
        <v>6</v>
      </c>
      <c r="I7" s="175">
        <f>SUM(I8,I13,I16)</f>
        <v>7</v>
      </c>
    </row>
    <row r="8" spans="1:9">
      <c r="A8" s="27"/>
      <c r="B8" s="176" t="s">
        <v>1147</v>
      </c>
      <c r="C8" s="1911" t="s">
        <v>1155</v>
      </c>
      <c r="D8" s="1912"/>
      <c r="E8" s="177">
        <f>SUM(E9:E12)</f>
        <v>3</v>
      </c>
      <c r="F8" s="177">
        <f>SUM(F9:F12)</f>
        <v>3</v>
      </c>
      <c r="G8" s="177">
        <f>SUM(G9:G12)</f>
        <v>3</v>
      </c>
      <c r="H8" s="177">
        <f>SUM(H9:H12)</f>
        <v>3</v>
      </c>
      <c r="I8" s="177">
        <v>3</v>
      </c>
    </row>
    <row r="9" spans="1:9">
      <c r="A9" s="27"/>
      <c r="B9" s="7"/>
      <c r="C9" s="7"/>
      <c r="D9" s="158" t="s">
        <v>1157</v>
      </c>
      <c r="E9" s="64" t="s">
        <v>1229</v>
      </c>
      <c r="F9" s="64" t="s">
        <v>1229</v>
      </c>
      <c r="G9" s="64" t="s">
        <v>1229</v>
      </c>
      <c r="H9" s="64" t="s">
        <v>1229</v>
      </c>
      <c r="I9" s="64" t="s">
        <v>1229</v>
      </c>
    </row>
    <row r="10" spans="1:9">
      <c r="A10" s="27"/>
      <c r="B10" s="7"/>
      <c r="C10" s="7"/>
      <c r="D10" s="158" t="s">
        <v>81</v>
      </c>
      <c r="E10" s="64" t="s">
        <v>1229</v>
      </c>
      <c r="F10" s="64" t="s">
        <v>1229</v>
      </c>
      <c r="G10" s="64" t="s">
        <v>1229</v>
      </c>
      <c r="H10" s="64" t="s">
        <v>1229</v>
      </c>
      <c r="I10" s="64" t="s">
        <v>1229</v>
      </c>
    </row>
    <row r="11" spans="1:9">
      <c r="A11" s="27"/>
      <c r="B11" s="7"/>
      <c r="C11" s="7"/>
      <c r="D11" s="158" t="s">
        <v>1159</v>
      </c>
      <c r="E11" s="64">
        <v>1</v>
      </c>
      <c r="F11" s="64">
        <v>1</v>
      </c>
      <c r="G11" s="64">
        <v>1</v>
      </c>
      <c r="H11" s="64">
        <v>1</v>
      </c>
      <c r="I11" s="64">
        <v>1</v>
      </c>
    </row>
    <row r="12" spans="1:9">
      <c r="A12" s="27"/>
      <c r="B12" s="7"/>
      <c r="C12" s="7"/>
      <c r="D12" s="158" t="s">
        <v>1302</v>
      </c>
      <c r="E12" s="91">
        <v>2</v>
      </c>
      <c r="F12" s="64">
        <v>2</v>
      </c>
      <c r="G12" s="64">
        <v>2</v>
      </c>
      <c r="H12" s="64">
        <v>2</v>
      </c>
      <c r="I12" s="64">
        <v>2</v>
      </c>
    </row>
    <row r="13" spans="1:9">
      <c r="A13" s="27"/>
      <c r="B13" s="178" t="s">
        <v>1145</v>
      </c>
      <c r="C13" s="1911" t="s">
        <v>1160</v>
      </c>
      <c r="D13" s="1912"/>
      <c r="E13" s="179" t="str">
        <f>IF(SUM(E14:E15)=0,"..",SUM(E14:E15))</f>
        <v>..</v>
      </c>
      <c r="F13" s="179" t="str">
        <f>IF(SUM(F14:F15)=0,"..",SUM(F14:F15))</f>
        <v>..</v>
      </c>
      <c r="G13" s="179" t="str">
        <f>IF(SUM(G14:G15)=0,"..",SUM(G14:G15))</f>
        <v>..</v>
      </c>
      <c r="H13" s="179" t="str">
        <f>IF(SUM(H14:H15)=0,"..",SUM(H14:H15))</f>
        <v>..</v>
      </c>
      <c r="I13" s="179">
        <v>1</v>
      </c>
    </row>
    <row r="14" spans="1:9" ht="14.25" customHeight="1">
      <c r="A14" s="27"/>
      <c r="B14" s="7"/>
      <c r="C14" s="7"/>
      <c r="D14" s="483" t="s">
        <v>1161</v>
      </c>
      <c r="E14" s="303" t="s">
        <v>857</v>
      </c>
      <c r="F14" s="303" t="s">
        <v>857</v>
      </c>
      <c r="G14" s="303" t="s">
        <v>857</v>
      </c>
      <c r="H14" s="303" t="s">
        <v>857</v>
      </c>
      <c r="I14" s="303">
        <v>1</v>
      </c>
    </row>
    <row r="15" spans="1:9">
      <c r="A15" s="27"/>
      <c r="B15" s="7"/>
      <c r="C15" s="7"/>
      <c r="D15" s="158" t="s">
        <v>1162</v>
      </c>
      <c r="E15" s="64" t="s">
        <v>1229</v>
      </c>
      <c r="F15" s="1290" t="s">
        <v>1229</v>
      </c>
      <c r="G15" s="1290" t="s">
        <v>1229</v>
      </c>
      <c r="H15" s="1290" t="s">
        <v>1229</v>
      </c>
      <c r="I15" s="1290" t="s">
        <v>1229</v>
      </c>
    </row>
    <row r="16" spans="1:9" ht="27.75" customHeight="1">
      <c r="A16" s="27"/>
      <c r="B16" s="180" t="s">
        <v>1146</v>
      </c>
      <c r="C16" s="1905" t="s">
        <v>360</v>
      </c>
      <c r="D16" s="1906"/>
      <c r="E16" s="468">
        <v>3</v>
      </c>
      <c r="F16" s="468">
        <v>3</v>
      </c>
      <c r="G16" s="468">
        <v>3</v>
      </c>
      <c r="H16" s="468">
        <v>3</v>
      </c>
      <c r="I16" s="468">
        <v>3</v>
      </c>
    </row>
    <row r="17" spans="1:9">
      <c r="A17" s="770" t="s">
        <v>1376</v>
      </c>
      <c r="B17" s="1913" t="s">
        <v>250</v>
      </c>
      <c r="C17" s="1913"/>
      <c r="D17" s="1914"/>
      <c r="E17" s="175">
        <f>SUM(E18,E25,E28)</f>
        <v>16</v>
      </c>
      <c r="F17" s="175">
        <f>SUM(F18,F25,F28)</f>
        <v>16</v>
      </c>
      <c r="G17" s="175">
        <f>SUM(G18,G25,G28)</f>
        <v>16</v>
      </c>
      <c r="H17" s="175">
        <f>SUM(H18,H25,H28)</f>
        <v>16</v>
      </c>
      <c r="I17" s="175">
        <f>SUM(I18,I25,I28)</f>
        <v>18</v>
      </c>
    </row>
    <row r="18" spans="1:9">
      <c r="A18" s="27"/>
      <c r="B18" s="181" t="s">
        <v>1147</v>
      </c>
      <c r="C18" s="1911" t="s">
        <v>1163</v>
      </c>
      <c r="D18" s="1912"/>
      <c r="E18" s="182">
        <f>SUM(E19,E20,E21,E22,E23,E24)</f>
        <v>6</v>
      </c>
      <c r="F18" s="182">
        <f>SUM(F19,F20,F21,F22,F23,F24)</f>
        <v>6</v>
      </c>
      <c r="G18" s="182">
        <f>SUM(G19,G20,G21,G22,G23,G24)</f>
        <v>6</v>
      </c>
      <c r="H18" s="182">
        <f>SUM(H19,H20,H21,H22,H23,H24)</f>
        <v>6</v>
      </c>
      <c r="I18" s="182">
        <f>SUM(I19,I20,I21,I22,I23,I24)</f>
        <v>8</v>
      </c>
    </row>
    <row r="19" spans="1:9">
      <c r="A19" s="27"/>
      <c r="B19" s="7"/>
      <c r="C19" s="7"/>
      <c r="D19" s="158" t="s">
        <v>1101</v>
      </c>
      <c r="E19" s="68" t="s">
        <v>1229</v>
      </c>
      <c r="F19" s="68" t="s">
        <v>1229</v>
      </c>
      <c r="G19" s="68" t="s">
        <v>1229</v>
      </c>
      <c r="H19" s="68" t="s">
        <v>1229</v>
      </c>
      <c r="I19" s="68" t="s">
        <v>1229</v>
      </c>
    </row>
    <row r="20" spans="1:9">
      <c r="A20" s="27"/>
      <c r="B20" s="7"/>
      <c r="C20" s="7"/>
      <c r="D20" s="158" t="s">
        <v>1164</v>
      </c>
      <c r="E20" s="68">
        <v>4</v>
      </c>
      <c r="F20" s="68">
        <v>4</v>
      </c>
      <c r="G20" s="68">
        <v>4</v>
      </c>
      <c r="H20" s="68">
        <v>4</v>
      </c>
      <c r="I20" s="68">
        <v>5</v>
      </c>
    </row>
    <row r="21" spans="1:9">
      <c r="A21" s="27"/>
      <c r="B21" s="7"/>
      <c r="C21" s="7"/>
      <c r="D21" s="158" t="s">
        <v>1165</v>
      </c>
      <c r="E21" s="68">
        <v>2</v>
      </c>
      <c r="F21" s="68">
        <v>2</v>
      </c>
      <c r="G21" s="68">
        <v>2</v>
      </c>
      <c r="H21" s="68">
        <v>2</v>
      </c>
      <c r="I21" s="68">
        <v>3</v>
      </c>
    </row>
    <row r="22" spans="1:9">
      <c r="A22" s="27"/>
      <c r="B22" s="7"/>
      <c r="C22" s="7"/>
      <c r="D22" s="158" t="s">
        <v>1166</v>
      </c>
      <c r="E22" s="64" t="s">
        <v>1229</v>
      </c>
      <c r="F22" s="64" t="s">
        <v>1229</v>
      </c>
      <c r="G22" s="64" t="s">
        <v>1229</v>
      </c>
      <c r="H22" s="64" t="s">
        <v>1229</v>
      </c>
      <c r="I22" s="64" t="s">
        <v>1229</v>
      </c>
    </row>
    <row r="23" spans="1:9">
      <c r="A23" s="27"/>
      <c r="B23" s="7"/>
      <c r="C23" s="7"/>
      <c r="D23" s="158" t="s">
        <v>1167</v>
      </c>
      <c r="E23" s="64" t="s">
        <v>1229</v>
      </c>
      <c r="F23" s="64" t="s">
        <v>1229</v>
      </c>
      <c r="G23" s="64" t="s">
        <v>1229</v>
      </c>
      <c r="H23" s="64" t="s">
        <v>1229</v>
      </c>
      <c r="I23" s="64" t="s">
        <v>1229</v>
      </c>
    </row>
    <row r="24" spans="1:9" ht="37.5" customHeight="1">
      <c r="A24" s="27"/>
      <c r="B24" s="7"/>
      <c r="C24" s="7"/>
      <c r="D24" s="980" t="s">
        <v>612</v>
      </c>
      <c r="E24" s="85" t="s">
        <v>1229</v>
      </c>
      <c r="F24" s="85" t="s">
        <v>1229</v>
      </c>
      <c r="G24" s="85" t="s">
        <v>1229</v>
      </c>
      <c r="H24" s="85" t="s">
        <v>1229</v>
      </c>
      <c r="I24" s="85" t="s">
        <v>1229</v>
      </c>
    </row>
    <row r="25" spans="1:9">
      <c r="A25" s="27"/>
      <c r="B25" s="176" t="s">
        <v>1145</v>
      </c>
      <c r="C25" s="1911" t="s">
        <v>1168</v>
      </c>
      <c r="D25" s="1912"/>
      <c r="E25" s="173">
        <f>IF(SUM(E26:E27)=0,"-",SUM(E26:E27))</f>
        <v>8</v>
      </c>
      <c r="F25" s="177">
        <f>IF(SUM(F26:F27)=0,"-",SUM(F26:F27))</f>
        <v>8</v>
      </c>
      <c r="G25" s="177">
        <f>IF(SUM(G26:G27)=0,"-",SUM(G26:G27))</f>
        <v>8</v>
      </c>
      <c r="H25" s="177">
        <f>IF(SUM(H26:H27)=0,"-",SUM(H26:H27))</f>
        <v>8</v>
      </c>
      <c r="I25" s="177">
        <f>IF(SUM(I26:I27)=0,"-",SUM(I26:I27))</f>
        <v>8</v>
      </c>
    </row>
    <row r="26" spans="1:9">
      <c r="A26" s="27"/>
      <c r="B26" s="7"/>
      <c r="C26" s="7"/>
      <c r="D26" s="158" t="s">
        <v>1169</v>
      </c>
      <c r="E26" s="64">
        <v>8</v>
      </c>
      <c r="F26" s="64">
        <v>8</v>
      </c>
      <c r="G26" s="64">
        <v>8</v>
      </c>
      <c r="H26" s="64">
        <v>8</v>
      </c>
      <c r="I26" s="64">
        <v>8</v>
      </c>
    </row>
    <row r="27" spans="1:9">
      <c r="A27" s="27"/>
      <c r="B27" s="7"/>
      <c r="C27" s="7"/>
      <c r="D27" s="158" t="s">
        <v>1170</v>
      </c>
      <c r="E27" s="64" t="s">
        <v>1229</v>
      </c>
      <c r="F27" s="64" t="s">
        <v>1229</v>
      </c>
      <c r="G27" s="64" t="s">
        <v>1229</v>
      </c>
      <c r="H27" s="64" t="s">
        <v>1229</v>
      </c>
      <c r="I27" s="64" t="s">
        <v>1229</v>
      </c>
    </row>
    <row r="28" spans="1:9">
      <c r="A28" s="183"/>
      <c r="B28" s="241" t="s">
        <v>1146</v>
      </c>
      <c r="C28" s="1911" t="s">
        <v>82</v>
      </c>
      <c r="D28" s="1912"/>
      <c r="E28" s="182">
        <f>IF(SUM(E29:E34)=0,"-",SUM(E29:E34))</f>
        <v>2</v>
      </c>
      <c r="F28" s="182">
        <f>IF(SUM(F29:F34)=0,"-",SUM(F29:F34))</f>
        <v>2</v>
      </c>
      <c r="G28" s="182">
        <f>IF(SUM(G29:G34)=0,"-",SUM(G29:G34))</f>
        <v>2</v>
      </c>
      <c r="H28" s="182">
        <f>IF(SUM(H29:H34)=0,"-",SUM(H29:H34))</f>
        <v>2</v>
      </c>
      <c r="I28" s="182">
        <v>2</v>
      </c>
    </row>
    <row r="29" spans="1:9">
      <c r="A29" s="27"/>
      <c r="B29" s="7"/>
      <c r="C29" s="7"/>
      <c r="D29" s="158" t="s">
        <v>1171</v>
      </c>
      <c r="E29" s="64">
        <v>2</v>
      </c>
      <c r="F29" s="64">
        <v>2</v>
      </c>
      <c r="G29" s="64">
        <v>2</v>
      </c>
      <c r="H29" s="64">
        <v>2</v>
      </c>
      <c r="I29" s="64">
        <v>2</v>
      </c>
    </row>
    <row r="30" spans="1:9">
      <c r="A30" s="27"/>
      <c r="B30" s="7"/>
      <c r="C30" s="7"/>
      <c r="D30" s="158" t="s">
        <v>1172</v>
      </c>
      <c r="E30" s="64" t="s">
        <v>1229</v>
      </c>
      <c r="F30" s="64" t="s">
        <v>1229</v>
      </c>
      <c r="G30" s="64" t="s">
        <v>1229</v>
      </c>
      <c r="H30" s="64" t="s">
        <v>1229</v>
      </c>
      <c r="I30" s="64" t="s">
        <v>1229</v>
      </c>
    </row>
    <row r="31" spans="1:9">
      <c r="A31" s="27"/>
      <c r="B31" s="7"/>
      <c r="C31" s="7"/>
      <c r="D31" s="158" t="s">
        <v>1175</v>
      </c>
      <c r="E31" s="64" t="s">
        <v>1229</v>
      </c>
      <c r="F31" s="64" t="s">
        <v>1229</v>
      </c>
      <c r="G31" s="64" t="s">
        <v>1229</v>
      </c>
      <c r="H31" s="64" t="s">
        <v>1229</v>
      </c>
      <c r="I31" s="64" t="s">
        <v>1229</v>
      </c>
    </row>
    <row r="32" spans="1:9">
      <c r="A32" s="27"/>
      <c r="B32" s="7"/>
      <c r="C32" s="7"/>
      <c r="D32" s="158" t="s">
        <v>1173</v>
      </c>
      <c r="E32" s="64" t="s">
        <v>1229</v>
      </c>
      <c r="F32" s="64" t="s">
        <v>1229</v>
      </c>
      <c r="G32" s="64" t="s">
        <v>1229</v>
      </c>
      <c r="H32" s="64" t="s">
        <v>1229</v>
      </c>
      <c r="I32" s="64" t="s">
        <v>1229</v>
      </c>
    </row>
    <row r="33" spans="1:9" ht="12.75" customHeight="1">
      <c r="A33" s="27"/>
      <c r="B33" s="7"/>
      <c r="C33" s="7"/>
      <c r="D33" s="158" t="s">
        <v>1174</v>
      </c>
      <c r="E33" s="64" t="s">
        <v>1229</v>
      </c>
      <c r="F33" s="64" t="s">
        <v>1229</v>
      </c>
      <c r="G33" s="64" t="s">
        <v>1229</v>
      </c>
      <c r="H33" s="64" t="s">
        <v>1229</v>
      </c>
      <c r="I33" s="64" t="s">
        <v>1229</v>
      </c>
    </row>
    <row r="34" spans="1:9">
      <c r="A34" s="770" t="s">
        <v>1377</v>
      </c>
      <c r="B34" s="1907" t="s">
        <v>251</v>
      </c>
      <c r="C34" s="1907"/>
      <c r="D34" s="1908"/>
      <c r="E34" s="185" t="s">
        <v>1229</v>
      </c>
      <c r="F34" s="185" t="s">
        <v>1229</v>
      </c>
      <c r="G34" s="185" t="s">
        <v>1229</v>
      </c>
      <c r="H34" s="185" t="s">
        <v>1229</v>
      </c>
      <c r="I34" s="185" t="s">
        <v>1229</v>
      </c>
    </row>
    <row r="35" spans="1:9">
      <c r="A35" s="59"/>
      <c r="B35" s="1897" t="s">
        <v>958</v>
      </c>
      <c r="C35" s="1897"/>
      <c r="D35" s="1898"/>
      <c r="E35" s="493">
        <f>SUM(E7,E17,E34)</f>
        <v>22</v>
      </c>
      <c r="F35" s="493">
        <f>SUM(F7,F17,F34)</f>
        <v>22</v>
      </c>
      <c r="G35" s="662">
        <f>SUM(G7,G17,G34)</f>
        <v>22</v>
      </c>
      <c r="H35" s="662">
        <f>SUM(H7,H17,H34)</f>
        <v>22</v>
      </c>
      <c r="I35" s="662">
        <f>SUM(I7,I17,I34)</f>
        <v>25</v>
      </c>
    </row>
    <row r="36" spans="1:9">
      <c r="A36" s="960"/>
      <c r="B36" s="961"/>
      <c r="C36" s="961"/>
      <c r="D36" s="961"/>
      <c r="E36" s="50"/>
      <c r="F36" s="101"/>
      <c r="H36" s="619"/>
      <c r="I36" s="1188" t="s">
        <v>72</v>
      </c>
    </row>
    <row r="37" spans="1:9">
      <c r="A37" s="50"/>
      <c r="B37" s="50"/>
      <c r="C37" s="164"/>
      <c r="D37" s="717"/>
      <c r="E37" s="50"/>
      <c r="F37" s="102"/>
      <c r="G37" s="620"/>
      <c r="H37" s="620"/>
      <c r="I37" s="620"/>
    </row>
    <row r="38" spans="1:9">
      <c r="A38" s="50"/>
      <c r="B38" s="50"/>
      <c r="C38" s="164"/>
      <c r="D38" s="50"/>
      <c r="E38" s="50"/>
      <c r="F38" s="102"/>
      <c r="G38" s="620"/>
      <c r="H38" s="620"/>
      <c r="I38" s="620"/>
    </row>
    <row r="39" spans="1:9">
      <c r="A39" s="50"/>
      <c r="B39" s="50"/>
      <c r="C39" s="50"/>
      <c r="D39" s="50"/>
      <c r="E39" s="50"/>
      <c r="F39" s="50"/>
      <c r="G39" s="50"/>
      <c r="H39" s="50"/>
      <c r="I39" s="50"/>
    </row>
    <row r="40" spans="1:9">
      <c r="A40" s="50"/>
      <c r="B40" s="50"/>
      <c r="C40" s="50"/>
      <c r="D40" s="50"/>
      <c r="E40" s="50"/>
      <c r="F40" s="50"/>
      <c r="G40" s="50"/>
      <c r="H40" s="50"/>
      <c r="I40" s="50"/>
    </row>
    <row r="41" spans="1:9">
      <c r="A41" s="50"/>
      <c r="B41" s="50"/>
      <c r="C41" s="50"/>
      <c r="D41" s="50"/>
      <c r="E41" s="50"/>
      <c r="F41" s="50"/>
      <c r="G41" s="50"/>
      <c r="H41" s="50"/>
      <c r="I41" s="50"/>
    </row>
  </sheetData>
  <mergeCells count="15">
    <mergeCell ref="B35:D35"/>
    <mergeCell ref="A1:I1"/>
    <mergeCell ref="A4:D5"/>
    <mergeCell ref="E4:I4"/>
    <mergeCell ref="C16:D16"/>
    <mergeCell ref="B34:D34"/>
    <mergeCell ref="A2:I2"/>
    <mergeCell ref="A6:D6"/>
    <mergeCell ref="B7:D7"/>
    <mergeCell ref="C8:D8"/>
    <mergeCell ref="C13:D13"/>
    <mergeCell ref="C28:D28"/>
    <mergeCell ref="C25:D25"/>
    <mergeCell ref="B17:D17"/>
    <mergeCell ref="C18:D18"/>
  </mergeCells>
  <phoneticPr fontId="0" type="noConversion"/>
  <printOptions horizontalCentered="1"/>
  <pageMargins left="0.1" right="0.1" top="0.68" bottom="0.1" header="0.39" footer="0.1"/>
  <pageSetup paperSize="9" scale="98" orientation="landscape" blackAndWhite="1" r:id="rId1"/>
  <headerFooter alignWithMargins="0"/>
</worksheet>
</file>

<file path=xl/worksheets/sheet3.xml><?xml version="1.0" encoding="utf-8"?>
<worksheet xmlns="http://schemas.openxmlformats.org/spreadsheetml/2006/main" xmlns:r="http://schemas.openxmlformats.org/officeDocument/2006/relationships">
  <dimension ref="A3:J41"/>
  <sheetViews>
    <sheetView workbookViewId="0">
      <selection activeCell="A41" sqref="A41"/>
    </sheetView>
  </sheetViews>
  <sheetFormatPr defaultRowHeight="12.75"/>
  <sheetData>
    <row r="3" spans="1:10">
      <c r="J3" s="22"/>
    </row>
    <row r="4" spans="1:10">
      <c r="J4" s="22"/>
    </row>
    <row r="5" spans="1:10" ht="35.25">
      <c r="A5" s="1691" t="s">
        <v>481</v>
      </c>
      <c r="B5" s="1691"/>
      <c r="C5" s="1691"/>
      <c r="D5" s="1691"/>
      <c r="E5" s="1691"/>
      <c r="F5" s="1691"/>
      <c r="G5" s="1691"/>
      <c r="H5" s="1691"/>
      <c r="I5" s="328"/>
      <c r="J5" s="22"/>
    </row>
    <row r="6" spans="1:10">
      <c r="J6" s="22"/>
    </row>
    <row r="7" spans="1:10">
      <c r="J7" s="22"/>
    </row>
    <row r="8" spans="1:10">
      <c r="J8" s="22"/>
    </row>
    <row r="9" spans="1:10" ht="18.75">
      <c r="A9" s="1694" t="s">
        <v>1537</v>
      </c>
      <c r="B9" s="1695"/>
      <c r="C9" s="1695"/>
      <c r="D9" s="1695"/>
      <c r="E9" s="1695"/>
      <c r="F9" s="1695"/>
      <c r="G9" s="1695"/>
      <c r="H9" s="1695"/>
      <c r="I9" s="329"/>
      <c r="J9" s="22"/>
    </row>
    <row r="10" spans="1:10" ht="18.75">
      <c r="A10" s="1695"/>
      <c r="B10" s="1695"/>
      <c r="C10" s="1695"/>
      <c r="D10" s="1695"/>
      <c r="E10" s="1695"/>
      <c r="F10" s="1695"/>
      <c r="G10" s="1695"/>
      <c r="H10" s="1695"/>
      <c r="I10" s="329"/>
      <c r="J10" s="22"/>
    </row>
    <row r="11" spans="1:10" ht="18.75">
      <c r="A11" s="1695"/>
      <c r="B11" s="1695"/>
      <c r="C11" s="1695"/>
      <c r="D11" s="1695"/>
      <c r="E11" s="1695"/>
      <c r="F11" s="1695"/>
      <c r="G11" s="1695"/>
      <c r="H11" s="1695"/>
      <c r="I11" s="329"/>
    </row>
    <row r="12" spans="1:10" ht="18.75">
      <c r="A12" s="1695"/>
      <c r="B12" s="1695"/>
      <c r="C12" s="1695"/>
      <c r="D12" s="1695"/>
      <c r="E12" s="1695"/>
      <c r="F12" s="1695"/>
      <c r="G12" s="1695"/>
      <c r="H12" s="1695"/>
      <c r="I12" s="329"/>
    </row>
    <row r="13" spans="1:10" ht="18.75">
      <c r="A13" s="1695"/>
      <c r="B13" s="1695"/>
      <c r="C13" s="1695"/>
      <c r="D13" s="1695"/>
      <c r="E13" s="1695"/>
      <c r="F13" s="1695"/>
      <c r="G13" s="1695"/>
      <c r="H13" s="1695"/>
      <c r="I13" s="329"/>
    </row>
    <row r="14" spans="1:10">
      <c r="A14" s="1695"/>
      <c r="B14" s="1695"/>
      <c r="C14" s="1695"/>
      <c r="D14" s="1695"/>
      <c r="E14" s="1695"/>
      <c r="F14" s="1695"/>
      <c r="G14" s="1695"/>
      <c r="H14" s="1695"/>
      <c r="I14" s="330"/>
    </row>
    <row r="15" spans="1:10">
      <c r="A15" s="1695"/>
      <c r="B15" s="1695"/>
      <c r="C15" s="1695"/>
      <c r="D15" s="1695"/>
      <c r="E15" s="1695"/>
      <c r="F15" s="1695"/>
      <c r="G15" s="1695"/>
      <c r="H15" s="1695"/>
      <c r="I15" s="330"/>
    </row>
    <row r="16" spans="1:10">
      <c r="A16" s="1695"/>
      <c r="B16" s="1695"/>
      <c r="C16" s="1695"/>
      <c r="D16" s="1695"/>
      <c r="E16" s="1695"/>
      <c r="F16" s="1695"/>
      <c r="G16" s="1695"/>
      <c r="H16" s="1695"/>
    </row>
    <row r="17" spans="1:9">
      <c r="A17" s="1695"/>
      <c r="B17" s="1695"/>
      <c r="C17" s="1695"/>
      <c r="D17" s="1695"/>
      <c r="E17" s="1695"/>
      <c r="F17" s="1695"/>
      <c r="G17" s="1695"/>
      <c r="H17" s="1695"/>
    </row>
    <row r="18" spans="1:9" ht="14.1" customHeight="1">
      <c r="A18" s="1695"/>
      <c r="B18" s="1695"/>
      <c r="C18" s="1695"/>
      <c r="D18" s="1695"/>
      <c r="E18" s="1695"/>
      <c r="F18" s="1695"/>
      <c r="G18" s="1695"/>
      <c r="H18" s="1695"/>
      <c r="I18" s="329"/>
    </row>
    <row r="19" spans="1:9" ht="18.75">
      <c r="A19" s="1695"/>
      <c r="B19" s="1695"/>
      <c r="C19" s="1695"/>
      <c r="D19" s="1695"/>
      <c r="E19" s="1695"/>
      <c r="F19" s="1695"/>
      <c r="G19" s="1695"/>
      <c r="H19" s="1695"/>
      <c r="I19" s="329"/>
    </row>
    <row r="20" spans="1:9" ht="18.75">
      <c r="A20" s="1695"/>
      <c r="B20" s="1695"/>
      <c r="C20" s="1695"/>
      <c r="D20" s="1695"/>
      <c r="E20" s="1695"/>
      <c r="F20" s="1695"/>
      <c r="G20" s="1695"/>
      <c r="H20" s="1695"/>
      <c r="I20" s="329"/>
    </row>
    <row r="21" spans="1:9" ht="18.75">
      <c r="A21" s="1695"/>
      <c r="B21" s="1695"/>
      <c r="C21" s="1695"/>
      <c r="D21" s="1695"/>
      <c r="E21" s="1695"/>
      <c r="F21" s="1695"/>
      <c r="G21" s="1695"/>
      <c r="H21" s="1695"/>
      <c r="I21" s="329"/>
    </row>
    <row r="22" spans="1:9" ht="18.75">
      <c r="A22" s="1695"/>
      <c r="B22" s="1695"/>
      <c r="C22" s="1695"/>
      <c r="D22" s="1695"/>
      <c r="E22" s="1695"/>
      <c r="F22" s="1695"/>
      <c r="G22" s="1695"/>
      <c r="H22" s="1695"/>
      <c r="I22" s="329"/>
    </row>
    <row r="23" spans="1:9" ht="18.75">
      <c r="A23" s="1695"/>
      <c r="B23" s="1695"/>
      <c r="C23" s="1695"/>
      <c r="D23" s="1695"/>
      <c r="E23" s="1695"/>
      <c r="F23" s="1695"/>
      <c r="G23" s="1695"/>
      <c r="H23" s="1695"/>
      <c r="I23" s="329"/>
    </row>
    <row r="24" spans="1:9" ht="18.75">
      <c r="A24" s="1695"/>
      <c r="B24" s="1695"/>
      <c r="C24" s="1695"/>
      <c r="D24" s="1695"/>
      <c r="E24" s="1695"/>
      <c r="F24" s="1695"/>
      <c r="G24" s="1695"/>
      <c r="H24" s="1695"/>
      <c r="I24" s="331"/>
    </row>
    <row r="25" spans="1:9" ht="18.75">
      <c r="A25" s="1695"/>
      <c r="B25" s="1695"/>
      <c r="C25" s="1695"/>
      <c r="D25" s="1695"/>
      <c r="E25" s="1695"/>
      <c r="F25" s="1695"/>
      <c r="G25" s="1695"/>
      <c r="H25" s="1695"/>
      <c r="I25" s="331"/>
    </row>
    <row r="26" spans="1:9" ht="30" customHeight="1">
      <c r="A26" s="1695"/>
      <c r="B26" s="1695"/>
      <c r="C26" s="1695"/>
      <c r="D26" s="1695"/>
      <c r="E26" s="1695"/>
      <c r="F26" s="1695"/>
      <c r="G26" s="1695"/>
      <c r="H26" s="1695"/>
      <c r="I26" s="331"/>
    </row>
    <row r="27" spans="1:9" ht="18.75">
      <c r="A27" s="1695"/>
      <c r="B27" s="1695"/>
      <c r="C27" s="1695"/>
      <c r="D27" s="1695"/>
      <c r="E27" s="1695"/>
      <c r="F27" s="1695"/>
      <c r="G27" s="1695"/>
      <c r="H27" s="1695"/>
      <c r="I27" s="331"/>
    </row>
    <row r="28" spans="1:9">
      <c r="A28" s="1696"/>
      <c r="B28" s="1696"/>
      <c r="C28" s="1696"/>
      <c r="D28" s="1696"/>
      <c r="E28" s="1696"/>
      <c r="F28" s="1696"/>
      <c r="G28" s="1696"/>
      <c r="H28" s="1696"/>
    </row>
    <row r="29" spans="1:9">
      <c r="A29" s="1697"/>
      <c r="B29" s="1697"/>
      <c r="C29" s="1697"/>
      <c r="D29" s="1697"/>
      <c r="E29" s="1697"/>
      <c r="F29" s="1697"/>
      <c r="G29" s="1697"/>
      <c r="H29" s="1697"/>
    </row>
    <row r="30" spans="1:9">
      <c r="A30" s="1698"/>
      <c r="B30" s="1698"/>
      <c r="C30" s="1698"/>
      <c r="D30" s="1698"/>
      <c r="E30" s="1698"/>
      <c r="F30" s="1698"/>
      <c r="G30" s="1698"/>
      <c r="H30" s="1698"/>
    </row>
    <row r="31" spans="1:9">
      <c r="A31" s="1698"/>
      <c r="B31" s="1698"/>
      <c r="C31" s="1698"/>
      <c r="D31" s="1698"/>
      <c r="E31" s="1698"/>
      <c r="F31" s="1698"/>
      <c r="G31" s="1698"/>
      <c r="H31" s="1698"/>
    </row>
    <row r="32" spans="1:9">
      <c r="A32" s="1698"/>
      <c r="B32" s="1698"/>
      <c r="C32" s="1698"/>
      <c r="D32" s="1698"/>
      <c r="E32" s="1698"/>
      <c r="F32" s="1698"/>
      <c r="G32" s="1698"/>
      <c r="H32" s="1698"/>
    </row>
    <row r="33" spans="1:9">
      <c r="A33" s="1698"/>
      <c r="B33" s="1698"/>
      <c r="C33" s="1698"/>
      <c r="D33" s="1698"/>
      <c r="E33" s="1698"/>
      <c r="F33" s="1698"/>
      <c r="G33" s="1698"/>
      <c r="H33" s="1698"/>
    </row>
    <row r="34" spans="1:9">
      <c r="A34" s="1698"/>
      <c r="B34" s="1698"/>
      <c r="C34" s="1698"/>
      <c r="D34" s="1698"/>
      <c r="E34" s="1698"/>
      <c r="F34" s="1698"/>
      <c r="G34" s="1698"/>
      <c r="H34" s="1698"/>
    </row>
    <row r="36" spans="1:9">
      <c r="D36" s="332"/>
      <c r="E36" s="332"/>
      <c r="F36" s="332"/>
      <c r="G36" s="332"/>
      <c r="H36" s="332"/>
      <c r="I36" s="333"/>
    </row>
    <row r="37" spans="1:9">
      <c r="D37" s="333"/>
      <c r="E37" s="333"/>
      <c r="F37" s="333"/>
      <c r="G37" s="333"/>
      <c r="H37" s="333"/>
      <c r="I37" s="333"/>
    </row>
    <row r="38" spans="1:9" ht="15.75">
      <c r="A38" s="1339"/>
      <c r="B38" s="1339"/>
      <c r="C38" s="1339"/>
      <c r="D38" s="1692" t="s">
        <v>1925</v>
      </c>
      <c r="E38" s="1692"/>
      <c r="F38" s="1692"/>
      <c r="G38" s="1692"/>
      <c r="H38" s="1692"/>
      <c r="I38" s="332"/>
    </row>
    <row r="39" spans="1:9" ht="15.75">
      <c r="A39" s="1693" t="s">
        <v>482</v>
      </c>
      <c r="B39" s="1693"/>
      <c r="C39" s="1339"/>
      <c r="D39" s="1692" t="s">
        <v>1806</v>
      </c>
      <c r="E39" s="1692"/>
      <c r="F39" s="1692"/>
      <c r="G39" s="1692"/>
      <c r="H39" s="1692"/>
      <c r="I39" s="332"/>
    </row>
    <row r="40" spans="1:9" ht="15.75">
      <c r="A40" s="1683" t="s">
        <v>1938</v>
      </c>
      <c r="B40" s="1490"/>
      <c r="C40" s="1491"/>
      <c r="D40" s="1692" t="s">
        <v>483</v>
      </c>
      <c r="E40" s="1692"/>
      <c r="F40" s="1692"/>
      <c r="G40" s="1692"/>
      <c r="H40" s="1692"/>
      <c r="I40" s="332"/>
    </row>
    <row r="41" spans="1:9" ht="15.75">
      <c r="A41" s="1339"/>
      <c r="B41" s="1339"/>
      <c r="C41" s="1339"/>
      <c r="D41" s="1692" t="s">
        <v>485</v>
      </c>
      <c r="E41" s="1692"/>
      <c r="F41" s="1692"/>
      <c r="G41" s="1692"/>
      <c r="H41" s="1692"/>
      <c r="I41" s="332"/>
    </row>
  </sheetData>
  <mergeCells count="7">
    <mergeCell ref="A5:H5"/>
    <mergeCell ref="D38:H38"/>
    <mergeCell ref="D41:H41"/>
    <mergeCell ref="A39:B39"/>
    <mergeCell ref="D39:H39"/>
    <mergeCell ref="D40:H40"/>
    <mergeCell ref="A9:H34"/>
  </mergeCells>
  <phoneticPr fontId="0" type="noConversion"/>
  <printOptions horizontalCentered="1"/>
  <pageMargins left="0.1" right="0.1" top="1" bottom="1" header="0.5" footer="0.5"/>
  <pageSetup paperSize="9" orientation="portrait" blackAndWhite="1" horizontalDpi="4294967295" r:id="rId1"/>
  <headerFooter alignWithMargins="0"/>
</worksheet>
</file>

<file path=xl/worksheets/sheet30.xml><?xml version="1.0" encoding="utf-8"?>
<worksheet xmlns="http://schemas.openxmlformats.org/spreadsheetml/2006/main" xmlns:r="http://schemas.openxmlformats.org/officeDocument/2006/relationships">
  <sheetPr codeName="Sheet28"/>
  <dimension ref="A1:I34"/>
  <sheetViews>
    <sheetView topLeftCell="A4" workbookViewId="0">
      <selection activeCell="J11" sqref="J11"/>
    </sheetView>
  </sheetViews>
  <sheetFormatPr defaultRowHeight="12.75"/>
  <cols>
    <col min="1" max="1" width="3.42578125" customWidth="1"/>
    <col min="4" max="4" width="23.140625" customWidth="1"/>
    <col min="5" max="9" width="16.28515625" customWidth="1"/>
  </cols>
  <sheetData>
    <row r="1" spans="1:9" ht="12.75" customHeight="1">
      <c r="A1" s="1928" t="s">
        <v>353</v>
      </c>
      <c r="B1" s="1928"/>
      <c r="C1" s="1928"/>
      <c r="D1" s="1928"/>
      <c r="E1" s="1928"/>
      <c r="F1" s="1928"/>
      <c r="G1" s="1928"/>
      <c r="H1" s="1928"/>
      <c r="I1" s="1928"/>
    </row>
    <row r="2" spans="1:9" ht="16.5" customHeight="1">
      <c r="A2" s="1760" t="str">
        <f>CONCATENATE("Special and Non-formal Educational Institutions by type in the district of ",District!A1)</f>
        <v>Special and Non-formal Educational Institutions by type in the district of South 24-Parganas</v>
      </c>
      <c r="B2" s="1760"/>
      <c r="C2" s="1760"/>
      <c r="D2" s="1760"/>
      <c r="E2" s="1760"/>
      <c r="F2" s="1760"/>
      <c r="G2" s="1760"/>
      <c r="H2" s="1760"/>
      <c r="I2" s="1760"/>
    </row>
    <row r="3" spans="1:9" ht="14.25" customHeight="1">
      <c r="B3" s="22"/>
      <c r="I3" s="113" t="s">
        <v>977</v>
      </c>
    </row>
    <row r="4" spans="1:9" ht="14.25" customHeight="1">
      <c r="A4" s="1723" t="s">
        <v>370</v>
      </c>
      <c r="B4" s="1921"/>
      <c r="C4" s="1921"/>
      <c r="D4" s="1922"/>
      <c r="E4" s="1926" t="s">
        <v>671</v>
      </c>
      <c r="F4" s="1926"/>
      <c r="G4" s="1926"/>
      <c r="H4" s="1926"/>
      <c r="I4" s="1927"/>
    </row>
    <row r="5" spans="1:9" ht="14.25" customHeight="1">
      <c r="A5" s="1923"/>
      <c r="B5" s="1924"/>
      <c r="C5" s="1924"/>
      <c r="D5" s="1925"/>
      <c r="E5" s="665" t="s">
        <v>1317</v>
      </c>
      <c r="F5" s="665" t="s">
        <v>221</v>
      </c>
      <c r="G5" s="665" t="s">
        <v>1301</v>
      </c>
      <c r="H5" s="665" t="s">
        <v>621</v>
      </c>
      <c r="I5" s="665" t="s">
        <v>206</v>
      </c>
    </row>
    <row r="6" spans="1:9" ht="14.25" customHeight="1">
      <c r="A6" s="1716" t="s">
        <v>928</v>
      </c>
      <c r="B6" s="1717"/>
      <c r="C6" s="1717"/>
      <c r="D6" s="1797"/>
      <c r="E6" s="120" t="s">
        <v>929</v>
      </c>
      <c r="F6" s="119" t="s">
        <v>930</v>
      </c>
      <c r="G6" s="199" t="s">
        <v>931</v>
      </c>
      <c r="H6" s="119" t="s">
        <v>932</v>
      </c>
      <c r="I6" s="199" t="s">
        <v>933</v>
      </c>
    </row>
    <row r="7" spans="1:9" ht="21.75" customHeight="1">
      <c r="A7" s="455">
        <v>1</v>
      </c>
      <c r="B7" s="1929" t="s">
        <v>1176</v>
      </c>
      <c r="C7" s="1929"/>
      <c r="D7" s="1930"/>
      <c r="E7" s="85">
        <v>1213</v>
      </c>
      <c r="F7" s="85">
        <v>1213</v>
      </c>
      <c r="G7" s="85">
        <v>1213</v>
      </c>
      <c r="H7" s="85">
        <v>1213</v>
      </c>
      <c r="I7" s="85">
        <v>1212</v>
      </c>
    </row>
    <row r="8" spans="1:9" ht="21.75" customHeight="1">
      <c r="A8" s="226">
        <v>2</v>
      </c>
      <c r="B8" s="1931" t="s">
        <v>361</v>
      </c>
      <c r="C8" s="1915"/>
      <c r="D8" s="1916"/>
      <c r="E8" s="85">
        <v>80</v>
      </c>
      <c r="F8" s="85">
        <v>80</v>
      </c>
      <c r="G8" s="85">
        <v>80</v>
      </c>
      <c r="H8" s="85">
        <v>80</v>
      </c>
      <c r="I8" s="85">
        <v>80</v>
      </c>
    </row>
    <row r="9" spans="1:9" ht="21.75" customHeight="1">
      <c r="A9" s="226">
        <v>3</v>
      </c>
      <c r="B9" s="1915" t="s">
        <v>1177</v>
      </c>
      <c r="C9" s="1915"/>
      <c r="D9" s="1916"/>
      <c r="E9" s="85">
        <v>1</v>
      </c>
      <c r="F9" s="85">
        <v>1</v>
      </c>
      <c r="G9" s="85">
        <v>1</v>
      </c>
      <c r="H9" s="85">
        <v>1</v>
      </c>
      <c r="I9" s="85">
        <v>1</v>
      </c>
    </row>
    <row r="10" spans="1:9" ht="21.75" customHeight="1">
      <c r="A10" s="226">
        <v>4</v>
      </c>
      <c r="B10" s="1915" t="s">
        <v>368</v>
      </c>
      <c r="C10" s="1915"/>
      <c r="D10" s="1916"/>
      <c r="E10" s="85">
        <v>11</v>
      </c>
      <c r="F10" s="85">
        <v>10</v>
      </c>
      <c r="G10" s="85">
        <v>11</v>
      </c>
      <c r="H10" s="85">
        <v>11</v>
      </c>
      <c r="I10" s="85">
        <v>10</v>
      </c>
    </row>
    <row r="11" spans="1:9" ht="21.75" customHeight="1">
      <c r="A11" s="226">
        <v>5</v>
      </c>
      <c r="B11" s="1915" t="s">
        <v>1179</v>
      </c>
      <c r="C11" s="1915"/>
      <c r="D11" s="1916"/>
      <c r="E11" s="85">
        <v>16</v>
      </c>
      <c r="F11" s="85">
        <v>16</v>
      </c>
      <c r="G11" s="85">
        <v>16</v>
      </c>
      <c r="H11" s="85">
        <v>13</v>
      </c>
      <c r="I11" s="85">
        <v>13</v>
      </c>
    </row>
    <row r="12" spans="1:9" ht="21.75" customHeight="1">
      <c r="A12" s="226">
        <v>6</v>
      </c>
      <c r="B12" s="1915" t="s">
        <v>1181</v>
      </c>
      <c r="C12" s="1915"/>
      <c r="D12" s="1916"/>
      <c r="E12" s="85" t="s">
        <v>1229</v>
      </c>
      <c r="F12" s="85" t="s">
        <v>1229</v>
      </c>
      <c r="G12" s="85" t="s">
        <v>1229</v>
      </c>
      <c r="H12" s="85" t="s">
        <v>1229</v>
      </c>
      <c r="I12" s="85" t="s">
        <v>1229</v>
      </c>
    </row>
    <row r="13" spans="1:9" ht="26.25" customHeight="1">
      <c r="A13" s="242">
        <v>7</v>
      </c>
      <c r="B13" s="1919" t="s">
        <v>369</v>
      </c>
      <c r="C13" s="1919"/>
      <c r="D13" s="1920"/>
      <c r="E13" s="85">
        <v>5</v>
      </c>
      <c r="F13" s="85">
        <v>4</v>
      </c>
      <c r="G13" s="85">
        <v>5</v>
      </c>
      <c r="H13" s="85">
        <v>5</v>
      </c>
      <c r="I13" s="85">
        <v>5</v>
      </c>
    </row>
    <row r="14" spans="1:9" ht="21.75" customHeight="1">
      <c r="A14" s="226">
        <v>8</v>
      </c>
      <c r="B14" s="1915" t="s">
        <v>1182</v>
      </c>
      <c r="C14" s="1915"/>
      <c r="D14" s="1916"/>
      <c r="E14" s="85">
        <v>146</v>
      </c>
      <c r="F14" s="85">
        <v>147</v>
      </c>
      <c r="G14" s="85">
        <v>34</v>
      </c>
      <c r="H14" s="85">
        <v>15</v>
      </c>
      <c r="I14" s="85">
        <v>14</v>
      </c>
    </row>
    <row r="15" spans="1:9" ht="21.75" customHeight="1">
      <c r="A15" s="226">
        <v>9</v>
      </c>
      <c r="B15" s="1915" t="s">
        <v>1649</v>
      </c>
      <c r="C15" s="1915"/>
      <c r="D15" s="1916"/>
      <c r="E15" s="85">
        <v>9639</v>
      </c>
      <c r="F15" s="85">
        <v>9695</v>
      </c>
      <c r="G15" s="85">
        <v>10078</v>
      </c>
      <c r="H15" s="85">
        <v>10560</v>
      </c>
      <c r="I15" s="85">
        <v>10607</v>
      </c>
    </row>
    <row r="16" spans="1:9" ht="21.75" customHeight="1">
      <c r="A16" s="226">
        <v>10</v>
      </c>
      <c r="B16" s="1915" t="s">
        <v>555</v>
      </c>
      <c r="C16" s="1915"/>
      <c r="D16" s="1916"/>
      <c r="E16" s="85">
        <v>6</v>
      </c>
      <c r="F16" s="85">
        <v>6</v>
      </c>
      <c r="G16" s="85">
        <v>7</v>
      </c>
      <c r="H16" s="85">
        <v>7</v>
      </c>
      <c r="I16" s="85">
        <v>7</v>
      </c>
    </row>
    <row r="17" spans="1:9" ht="51.75" customHeight="1">
      <c r="A17" s="242">
        <v>11</v>
      </c>
      <c r="B17" s="1919" t="s">
        <v>554</v>
      </c>
      <c r="C17" s="1919"/>
      <c r="D17" s="1920"/>
      <c r="E17" s="393" t="s">
        <v>857</v>
      </c>
      <c r="F17" s="393" t="s">
        <v>857</v>
      </c>
      <c r="G17" s="393" t="s">
        <v>857</v>
      </c>
      <c r="H17" s="1632" t="s">
        <v>1229</v>
      </c>
      <c r="I17" s="1632" t="s">
        <v>1229</v>
      </c>
    </row>
    <row r="18" spans="1:9" ht="21.75" customHeight="1">
      <c r="A18" s="226">
        <v>12</v>
      </c>
      <c r="B18" s="1915" t="s">
        <v>1365</v>
      </c>
      <c r="C18" s="1915"/>
      <c r="D18" s="1916"/>
      <c r="E18" s="85" t="s">
        <v>1229</v>
      </c>
      <c r="F18" s="85" t="s">
        <v>1229</v>
      </c>
      <c r="G18" s="85" t="s">
        <v>1229</v>
      </c>
      <c r="H18" s="85" t="s">
        <v>1229</v>
      </c>
      <c r="I18" s="492" t="s">
        <v>1229</v>
      </c>
    </row>
    <row r="19" spans="1:9" ht="19.5" customHeight="1">
      <c r="A19" s="469"/>
      <c r="B19" s="1917" t="s">
        <v>958</v>
      </c>
      <c r="C19" s="1917"/>
      <c r="D19" s="1918"/>
      <c r="E19" s="221">
        <f>SUM(E7:E18)</f>
        <v>11117</v>
      </c>
      <c r="F19" s="221">
        <f>SUM(F7:F18)</f>
        <v>11172</v>
      </c>
      <c r="G19" s="221">
        <f>SUM(G7:G18)</f>
        <v>11445</v>
      </c>
      <c r="H19" s="221">
        <f>SUM(H7:H18)</f>
        <v>11905</v>
      </c>
      <c r="I19" s="221">
        <f>SUM(I7:I18)</f>
        <v>11949</v>
      </c>
    </row>
    <row r="20" spans="1:9">
      <c r="A20" s="50"/>
      <c r="C20" s="50"/>
      <c r="F20" s="1163" t="s">
        <v>1446</v>
      </c>
      <c r="G20" s="1017" t="s">
        <v>1183</v>
      </c>
    </row>
    <row r="21" spans="1:9">
      <c r="A21" s="50"/>
      <c r="B21" s="50"/>
      <c r="C21" s="50"/>
      <c r="F21" s="1017"/>
      <c r="G21" s="1017" t="s">
        <v>1184</v>
      </c>
    </row>
    <row r="22" spans="1:9">
      <c r="A22" s="50"/>
      <c r="B22" s="50"/>
      <c r="C22" s="50"/>
      <c r="F22" s="1017"/>
      <c r="G22" s="1017" t="s">
        <v>371</v>
      </c>
    </row>
    <row r="23" spans="1:9">
      <c r="A23" s="50"/>
      <c r="B23" s="50"/>
      <c r="C23" s="50"/>
      <c r="F23" s="1017"/>
      <c r="G23" s="1017" t="s">
        <v>1185</v>
      </c>
    </row>
    <row r="24" spans="1:9">
      <c r="A24" s="50"/>
      <c r="B24" s="50"/>
      <c r="C24" s="50"/>
      <c r="F24" s="1017"/>
      <c r="G24" s="1017" t="s">
        <v>1187</v>
      </c>
    </row>
    <row r="25" spans="1:9">
      <c r="A25" s="50"/>
      <c r="B25" s="50"/>
      <c r="C25" s="50"/>
      <c r="F25" s="1017"/>
      <c r="G25" s="1017" t="s">
        <v>1188</v>
      </c>
    </row>
    <row r="26" spans="1:9">
      <c r="A26" s="50"/>
      <c r="B26" s="50"/>
      <c r="C26" s="50"/>
      <c r="F26" s="1017"/>
      <c r="G26" s="1017" t="s">
        <v>1476</v>
      </c>
    </row>
    <row r="27" spans="1:9">
      <c r="A27" s="50"/>
      <c r="B27" s="50"/>
      <c r="C27" s="50"/>
      <c r="F27" s="1017"/>
      <c r="G27" s="1017" t="s">
        <v>1189</v>
      </c>
    </row>
    <row r="28" spans="1:9">
      <c r="A28" s="50"/>
      <c r="B28" s="50"/>
      <c r="C28" s="50"/>
      <c r="F28" s="1172"/>
      <c r="G28" s="1017" t="s">
        <v>869</v>
      </c>
      <c r="I28" s="50"/>
    </row>
    <row r="29" spans="1:9">
      <c r="A29" s="50"/>
      <c r="B29" s="50"/>
      <c r="C29" s="50"/>
      <c r="D29" s="50"/>
      <c r="E29" s="50"/>
      <c r="F29" s="50"/>
      <c r="G29" s="50"/>
      <c r="H29" s="50"/>
      <c r="I29" s="50"/>
    </row>
    <row r="30" spans="1:9">
      <c r="A30" s="50"/>
      <c r="B30" s="50"/>
      <c r="C30" s="50"/>
      <c r="D30" s="50"/>
      <c r="E30" s="50"/>
      <c r="F30" s="50"/>
      <c r="G30" s="50"/>
      <c r="H30" s="50"/>
      <c r="I30" s="50"/>
    </row>
    <row r="31" spans="1:9">
      <c r="A31" s="50"/>
      <c r="B31" s="50"/>
      <c r="C31" s="50"/>
      <c r="D31" s="50"/>
      <c r="E31" s="50"/>
      <c r="F31" s="50"/>
      <c r="G31" s="50"/>
      <c r="H31" s="50"/>
      <c r="I31" s="50"/>
    </row>
    <row r="32" spans="1:9">
      <c r="A32" s="50"/>
      <c r="B32" s="50"/>
      <c r="C32" s="50"/>
      <c r="D32" s="50"/>
      <c r="E32" s="50"/>
      <c r="F32" s="50"/>
      <c r="G32" s="50"/>
      <c r="H32" s="50"/>
      <c r="I32" s="50"/>
    </row>
    <row r="33" spans="1:9">
      <c r="A33" s="50"/>
      <c r="B33" s="50"/>
      <c r="C33" s="50"/>
      <c r="D33" s="50"/>
      <c r="E33" s="50"/>
      <c r="F33" s="50"/>
      <c r="G33" s="50"/>
      <c r="H33" s="50"/>
      <c r="I33" s="50"/>
    </row>
    <row r="34" spans="1:9">
      <c r="A34" s="50"/>
      <c r="B34" s="50"/>
      <c r="C34" s="50"/>
      <c r="D34" s="50"/>
      <c r="E34" s="50"/>
      <c r="F34" s="50"/>
      <c r="G34" s="50"/>
      <c r="H34" s="50"/>
      <c r="I34" s="50"/>
    </row>
  </sheetData>
  <mergeCells count="18">
    <mergeCell ref="B9:D9"/>
    <mergeCell ref="B10:D10"/>
    <mergeCell ref="A4:D5"/>
    <mergeCell ref="E4:I4"/>
    <mergeCell ref="A1:I1"/>
    <mergeCell ref="B7:D7"/>
    <mergeCell ref="A2:I2"/>
    <mergeCell ref="A6:D6"/>
    <mergeCell ref="B8:D8"/>
    <mergeCell ref="B11:D11"/>
    <mergeCell ref="B19:D19"/>
    <mergeCell ref="B17:D17"/>
    <mergeCell ref="B18:D18"/>
    <mergeCell ref="B13:D13"/>
    <mergeCell ref="B14:D14"/>
    <mergeCell ref="B15:D15"/>
    <mergeCell ref="B16:D16"/>
    <mergeCell ref="B12:D12"/>
  </mergeCells>
  <phoneticPr fontId="0" type="noConversion"/>
  <conditionalFormatting sqref="A1:XFD1048576">
    <cfRule type="cellIs" dxfId="24" priority="1" stopIfTrue="1" operator="equal">
      <formula>".."</formula>
    </cfRule>
  </conditionalFormatting>
  <printOptions horizontalCentered="1"/>
  <pageMargins left="0.1" right="0.1" top="0.68" bottom="0.1" header="0.5" footer="0.1"/>
  <pageSetup paperSize="9" orientation="landscape" blackAndWhite="1" r:id="rId1"/>
  <headerFooter alignWithMargins="0"/>
</worksheet>
</file>

<file path=xl/worksheets/sheet31.xml><?xml version="1.0" encoding="utf-8"?>
<worksheet xmlns="http://schemas.openxmlformats.org/spreadsheetml/2006/main" xmlns:r="http://schemas.openxmlformats.org/officeDocument/2006/relationships">
  <sheetPr codeName="Sheet29"/>
  <dimension ref="A1:O43"/>
  <sheetViews>
    <sheetView topLeftCell="A13" workbookViewId="0">
      <selection activeCell="J11" sqref="J11"/>
    </sheetView>
  </sheetViews>
  <sheetFormatPr defaultRowHeight="12.75"/>
  <cols>
    <col min="1" max="1" width="2.28515625" customWidth="1"/>
    <col min="2" max="2" width="2.85546875" customWidth="1"/>
    <col min="3" max="3" width="1.28515625" customWidth="1"/>
    <col min="4" max="4" width="49.28515625" customWidth="1"/>
    <col min="5" max="10" width="8" customWidth="1"/>
    <col min="11" max="11" width="9" customWidth="1"/>
    <col min="12" max="12" width="8.85546875" customWidth="1"/>
    <col min="13" max="14" width="9.7109375" customWidth="1"/>
  </cols>
  <sheetData>
    <row r="1" spans="1:15">
      <c r="A1" s="1708" t="s">
        <v>354</v>
      </c>
      <c r="B1" s="1708"/>
      <c r="C1" s="1708"/>
      <c r="D1" s="1708"/>
      <c r="E1" s="1708"/>
      <c r="F1" s="1708"/>
      <c r="G1" s="1708"/>
      <c r="H1" s="1708"/>
      <c r="I1" s="1708"/>
      <c r="J1" s="1708"/>
      <c r="K1" s="1708"/>
      <c r="L1" s="1708"/>
      <c r="M1" s="1708"/>
      <c r="N1" s="1708"/>
    </row>
    <row r="2" spans="1:15" ht="12.75" customHeight="1">
      <c r="A2" s="1796" t="str">
        <f>CONCATENATE("Students by sex in different type of General Educational Institutions in the district of ",District!A1)</f>
        <v>Students by sex in different type of General Educational Institutions in the district of South 24-Parganas</v>
      </c>
      <c r="B2" s="1796"/>
      <c r="C2" s="1796"/>
      <c r="D2" s="1796"/>
      <c r="E2" s="1796"/>
      <c r="F2" s="1796"/>
      <c r="G2" s="1796"/>
      <c r="H2" s="1796"/>
      <c r="I2" s="1796"/>
      <c r="J2" s="1796"/>
      <c r="K2" s="1796"/>
      <c r="L2" s="1796"/>
      <c r="M2" s="1796"/>
      <c r="N2" s="1796"/>
    </row>
    <row r="3" spans="1:15">
      <c r="A3" s="2"/>
      <c r="B3" s="1242"/>
      <c r="C3" s="1242"/>
      <c r="D3" s="1242"/>
      <c r="E3" s="1242"/>
      <c r="F3" s="1242"/>
      <c r="G3" s="1242"/>
      <c r="H3" s="1242"/>
      <c r="I3" s="1242"/>
      <c r="J3" s="1242"/>
      <c r="K3" s="1242"/>
      <c r="L3" s="1242"/>
      <c r="M3" s="1242"/>
      <c r="N3" s="92" t="s">
        <v>977</v>
      </c>
    </row>
    <row r="4" spans="1:15">
      <c r="A4" s="1723" t="s">
        <v>370</v>
      </c>
      <c r="B4" s="1921"/>
      <c r="C4" s="1921"/>
      <c r="D4" s="1922"/>
      <c r="E4" s="1941" t="s">
        <v>671</v>
      </c>
      <c r="F4" s="1926"/>
      <c r="G4" s="1926"/>
      <c r="H4" s="1926"/>
      <c r="I4" s="1926"/>
      <c r="J4" s="1926"/>
      <c r="K4" s="1926"/>
      <c r="L4" s="1926"/>
      <c r="M4" s="1926"/>
      <c r="N4" s="1927"/>
    </row>
    <row r="5" spans="1:15" ht="12.75" customHeight="1">
      <c r="A5" s="1938"/>
      <c r="B5" s="1939"/>
      <c r="C5" s="1939"/>
      <c r="D5" s="1940"/>
      <c r="E5" s="1732" t="s">
        <v>1317</v>
      </c>
      <c r="F5" s="1714"/>
      <c r="G5" s="1732" t="s">
        <v>221</v>
      </c>
      <c r="H5" s="1714"/>
      <c r="I5" s="1713" t="s">
        <v>1301</v>
      </c>
      <c r="J5" s="1714"/>
      <c r="K5" s="1713" t="s">
        <v>621</v>
      </c>
      <c r="L5" s="1714"/>
      <c r="M5" s="1713" t="s">
        <v>206</v>
      </c>
      <c r="N5" s="1714"/>
    </row>
    <row r="6" spans="1:15">
      <c r="A6" s="1923"/>
      <c r="B6" s="1924"/>
      <c r="C6" s="1924"/>
      <c r="D6" s="1924"/>
      <c r="E6" s="133" t="s">
        <v>1003</v>
      </c>
      <c r="F6" s="133" t="s">
        <v>1004</v>
      </c>
      <c r="G6" s="124" t="s">
        <v>1003</v>
      </c>
      <c r="H6" s="133" t="s">
        <v>1004</v>
      </c>
      <c r="I6" s="124" t="s">
        <v>1003</v>
      </c>
      <c r="J6" s="133" t="s">
        <v>1004</v>
      </c>
      <c r="K6" s="125" t="s">
        <v>1003</v>
      </c>
      <c r="L6" s="124" t="s">
        <v>1004</v>
      </c>
      <c r="M6" s="133" t="s">
        <v>1003</v>
      </c>
      <c r="N6" s="133" t="s">
        <v>1004</v>
      </c>
    </row>
    <row r="7" spans="1:15">
      <c r="A7" s="1894" t="s">
        <v>928</v>
      </c>
      <c r="B7" s="1895"/>
      <c r="C7" s="1895"/>
      <c r="D7" s="1896"/>
      <c r="E7" s="130" t="s">
        <v>929</v>
      </c>
      <c r="F7" s="130" t="s">
        <v>930</v>
      </c>
      <c r="G7" s="131" t="s">
        <v>931</v>
      </c>
      <c r="H7" s="130" t="s">
        <v>932</v>
      </c>
      <c r="I7" s="850" t="s">
        <v>933</v>
      </c>
      <c r="J7" s="130" t="s">
        <v>934</v>
      </c>
      <c r="K7" s="132" t="s">
        <v>959</v>
      </c>
      <c r="L7" s="131" t="s">
        <v>960</v>
      </c>
      <c r="M7" s="130" t="s">
        <v>961</v>
      </c>
      <c r="N7" s="130" t="s">
        <v>962</v>
      </c>
    </row>
    <row r="8" spans="1:15">
      <c r="A8" s="834" t="s">
        <v>1375</v>
      </c>
      <c r="B8" s="1882" t="s">
        <v>472</v>
      </c>
      <c r="C8" s="1882"/>
      <c r="D8" s="1883"/>
      <c r="E8" s="451">
        <f t="shared" ref="E8:J8" si="0">E9+E14+E19+E24</f>
        <v>660397</v>
      </c>
      <c r="F8" s="1194">
        <f t="shared" si="0"/>
        <v>679939</v>
      </c>
      <c r="G8" s="451">
        <f t="shared" si="0"/>
        <v>671792</v>
      </c>
      <c r="H8" s="1194">
        <f t="shared" si="0"/>
        <v>692321</v>
      </c>
      <c r="I8" s="451">
        <f t="shared" si="0"/>
        <v>664951</v>
      </c>
      <c r="J8" s="1194">
        <f t="shared" si="0"/>
        <v>646426</v>
      </c>
      <c r="K8" s="451" t="s">
        <v>427</v>
      </c>
      <c r="L8" s="1194" t="s">
        <v>428</v>
      </c>
      <c r="M8" s="451">
        <f>SUM(M9,M14,M19,M24)</f>
        <v>486676</v>
      </c>
      <c r="N8" s="1608">
        <f t="shared" ref="N8" si="1">SUM(N9,N14,N19,N24)</f>
        <v>521328</v>
      </c>
      <c r="O8" s="451"/>
    </row>
    <row r="9" spans="1:15" ht="24.75" customHeight="1">
      <c r="A9" s="27"/>
      <c r="B9" s="851" t="s">
        <v>1147</v>
      </c>
      <c r="C9" s="1935" t="s">
        <v>188</v>
      </c>
      <c r="D9" s="1936"/>
      <c r="E9" s="411">
        <f>SUM(E10:E13)</f>
        <v>283121</v>
      </c>
      <c r="F9" s="410">
        <f>SUM(F10:F13)</f>
        <v>284362</v>
      </c>
      <c r="G9" s="411">
        <f>SUM(G10:G13)</f>
        <v>278489</v>
      </c>
      <c r="H9" s="410">
        <f>SUM(H10:H13)</f>
        <v>277855</v>
      </c>
      <c r="I9" s="411">
        <f t="shared" ref="I9:N9" si="2">SUM(I10:I13)</f>
        <v>270281</v>
      </c>
      <c r="J9" s="410">
        <f t="shared" si="2"/>
        <v>269842</v>
      </c>
      <c r="K9" s="411">
        <f t="shared" si="2"/>
        <v>228146</v>
      </c>
      <c r="L9" s="410">
        <f t="shared" si="2"/>
        <v>225156</v>
      </c>
      <c r="M9" s="411">
        <f t="shared" si="2"/>
        <v>220083</v>
      </c>
      <c r="N9" s="410">
        <f t="shared" si="2"/>
        <v>217447</v>
      </c>
    </row>
    <row r="10" spans="1:15">
      <c r="A10" s="27"/>
      <c r="B10" s="7"/>
      <c r="C10" s="7"/>
      <c r="D10" s="158" t="s">
        <v>1141</v>
      </c>
      <c r="E10" s="372">
        <v>280047</v>
      </c>
      <c r="F10" s="393">
        <v>282311</v>
      </c>
      <c r="G10" s="372">
        <v>275319</v>
      </c>
      <c r="H10" s="393">
        <v>275765</v>
      </c>
      <c r="I10" s="372">
        <v>267046</v>
      </c>
      <c r="J10" s="393">
        <v>267525</v>
      </c>
      <c r="K10" s="372">
        <v>224787</v>
      </c>
      <c r="L10" s="393">
        <v>222710</v>
      </c>
      <c r="M10" s="372">
        <v>217032</v>
      </c>
      <c r="N10" s="393">
        <v>215334</v>
      </c>
    </row>
    <row r="11" spans="1:15">
      <c r="A11" s="27"/>
      <c r="B11" s="7"/>
      <c r="C11" s="7"/>
      <c r="D11" s="158" t="s">
        <v>1142</v>
      </c>
      <c r="E11" s="372" t="s">
        <v>1229</v>
      </c>
      <c r="F11" s="393" t="s">
        <v>1229</v>
      </c>
      <c r="G11" s="372" t="s">
        <v>1229</v>
      </c>
      <c r="H11" s="393" t="s">
        <v>1229</v>
      </c>
      <c r="I11" s="372" t="s">
        <v>1229</v>
      </c>
      <c r="J11" s="393" t="s">
        <v>1229</v>
      </c>
      <c r="K11" s="372" t="s">
        <v>1229</v>
      </c>
      <c r="L11" s="393" t="s">
        <v>1229</v>
      </c>
      <c r="M11" s="372" t="s">
        <v>1229</v>
      </c>
      <c r="N11" s="393" t="s">
        <v>1229</v>
      </c>
    </row>
    <row r="12" spans="1:15">
      <c r="A12" s="27"/>
      <c r="B12" s="7"/>
      <c r="C12" s="7"/>
      <c r="D12" s="158" t="s">
        <v>611</v>
      </c>
      <c r="E12" s="372">
        <v>3031</v>
      </c>
      <c r="F12" s="393">
        <v>2021</v>
      </c>
      <c r="G12" s="372">
        <v>3138</v>
      </c>
      <c r="H12" s="393">
        <v>2067</v>
      </c>
      <c r="I12" s="372">
        <v>3201</v>
      </c>
      <c r="J12" s="393">
        <v>2292</v>
      </c>
      <c r="K12" s="372">
        <v>3341</v>
      </c>
      <c r="L12" s="393">
        <v>2429</v>
      </c>
      <c r="M12" s="372">
        <v>3040</v>
      </c>
      <c r="N12" s="393">
        <v>2098</v>
      </c>
    </row>
    <row r="13" spans="1:15">
      <c r="A13" s="27"/>
      <c r="B13" s="7"/>
      <c r="C13" s="7"/>
      <c r="D13" s="158" t="s">
        <v>80</v>
      </c>
      <c r="E13" s="372">
        <v>43</v>
      </c>
      <c r="F13" s="393">
        <v>30</v>
      </c>
      <c r="G13" s="372">
        <v>32</v>
      </c>
      <c r="H13" s="393">
        <v>23</v>
      </c>
      <c r="I13" s="372">
        <v>34</v>
      </c>
      <c r="J13" s="393">
        <v>25</v>
      </c>
      <c r="K13" s="372">
        <v>18</v>
      </c>
      <c r="L13" s="393">
        <v>17</v>
      </c>
      <c r="M13" s="372">
        <v>11</v>
      </c>
      <c r="N13" s="393">
        <v>15</v>
      </c>
    </row>
    <row r="14" spans="1:15" ht="24.75" customHeight="1">
      <c r="A14" s="27"/>
      <c r="B14" s="852" t="s">
        <v>1145</v>
      </c>
      <c r="C14" s="1933" t="s">
        <v>192</v>
      </c>
      <c r="D14" s="1934"/>
      <c r="E14" s="472">
        <f t="shared" ref="E14:J14" si="3">SUM(E15:E18)</f>
        <v>6953</v>
      </c>
      <c r="F14" s="472">
        <f t="shared" si="3"/>
        <v>11802</v>
      </c>
      <c r="G14" s="473">
        <f t="shared" si="3"/>
        <v>6586</v>
      </c>
      <c r="H14" s="472">
        <f t="shared" si="3"/>
        <v>11712</v>
      </c>
      <c r="I14" s="472">
        <f t="shared" si="3"/>
        <v>6144</v>
      </c>
      <c r="J14" s="472">
        <f t="shared" si="3"/>
        <v>5087</v>
      </c>
      <c r="K14" s="472" t="s">
        <v>287</v>
      </c>
      <c r="L14" s="472" t="s">
        <v>288</v>
      </c>
      <c r="M14" s="472">
        <f>SUM(M15:M18)</f>
        <v>16040</v>
      </c>
      <c r="N14" s="472">
        <f>SUM(N15:N18)</f>
        <v>18884</v>
      </c>
    </row>
    <row r="15" spans="1:15">
      <c r="A15" s="27"/>
      <c r="B15" s="7"/>
      <c r="C15" s="7"/>
      <c r="D15" s="158" t="s">
        <v>719</v>
      </c>
      <c r="E15" s="372">
        <v>6054</v>
      </c>
      <c r="F15" s="393">
        <v>11096</v>
      </c>
      <c r="G15" s="372">
        <v>5692</v>
      </c>
      <c r="H15" s="393">
        <v>10857</v>
      </c>
      <c r="I15" s="372">
        <v>5149</v>
      </c>
      <c r="J15" s="393">
        <v>4266</v>
      </c>
      <c r="K15" s="372" t="s">
        <v>857</v>
      </c>
      <c r="L15" s="393" t="s">
        <v>857</v>
      </c>
      <c r="M15" s="372">
        <v>16040</v>
      </c>
      <c r="N15" s="393">
        <v>18611</v>
      </c>
    </row>
    <row r="16" spans="1:15">
      <c r="A16" s="27"/>
      <c r="B16" s="7"/>
      <c r="C16" s="7"/>
      <c r="D16" s="158" t="s">
        <v>718</v>
      </c>
      <c r="E16" s="372" t="s">
        <v>857</v>
      </c>
      <c r="F16" s="393">
        <v>225</v>
      </c>
      <c r="G16" s="372" t="s">
        <v>857</v>
      </c>
      <c r="H16" s="393">
        <v>316</v>
      </c>
      <c r="I16" s="372" t="s">
        <v>857</v>
      </c>
      <c r="J16" s="393">
        <v>300</v>
      </c>
      <c r="K16" s="372" t="s">
        <v>1229</v>
      </c>
      <c r="L16" s="393">
        <v>260</v>
      </c>
      <c r="M16" s="372" t="s">
        <v>1229</v>
      </c>
      <c r="N16" s="393">
        <v>273</v>
      </c>
    </row>
    <row r="17" spans="1:14">
      <c r="A17" s="27"/>
      <c r="B17" s="7"/>
      <c r="C17" s="7"/>
      <c r="D17" s="158" t="s">
        <v>611</v>
      </c>
      <c r="E17" s="372">
        <v>899</v>
      </c>
      <c r="F17" s="393">
        <v>481</v>
      </c>
      <c r="G17" s="372">
        <v>894</v>
      </c>
      <c r="H17" s="393">
        <v>539</v>
      </c>
      <c r="I17" s="372">
        <v>995</v>
      </c>
      <c r="J17" s="393">
        <v>521</v>
      </c>
      <c r="K17" s="372">
        <v>935</v>
      </c>
      <c r="L17" s="393">
        <v>490</v>
      </c>
      <c r="M17" s="372" t="s">
        <v>1229</v>
      </c>
      <c r="N17" s="393" t="s">
        <v>1229</v>
      </c>
    </row>
    <row r="18" spans="1:14">
      <c r="A18" s="27"/>
      <c r="B18" s="7"/>
      <c r="C18" s="7"/>
      <c r="D18" s="158" t="s">
        <v>80</v>
      </c>
      <c r="E18" s="372" t="s">
        <v>1229</v>
      </c>
      <c r="F18" s="393" t="s">
        <v>1229</v>
      </c>
      <c r="G18" s="372" t="s">
        <v>1229</v>
      </c>
      <c r="H18" s="393" t="s">
        <v>1229</v>
      </c>
      <c r="I18" s="372" t="s">
        <v>1229</v>
      </c>
      <c r="J18" s="393" t="s">
        <v>1229</v>
      </c>
      <c r="K18" s="372" t="s">
        <v>1229</v>
      </c>
      <c r="L18" s="393" t="s">
        <v>1229</v>
      </c>
      <c r="M18" s="372" t="s">
        <v>1229</v>
      </c>
      <c r="N18" s="393" t="s">
        <v>1229</v>
      </c>
    </row>
    <row r="19" spans="1:14" ht="24.75" customHeight="1">
      <c r="A19" s="27"/>
      <c r="B19" s="853" t="s">
        <v>1146</v>
      </c>
      <c r="C19" s="1935" t="s">
        <v>189</v>
      </c>
      <c r="D19" s="1936"/>
      <c r="E19" s="343">
        <f t="shared" ref="E19:J19" si="4">SUM(E20:E23)</f>
        <v>124625</v>
      </c>
      <c r="F19" s="193">
        <f t="shared" si="4"/>
        <v>169069</v>
      </c>
      <c r="G19" s="343">
        <f t="shared" si="4"/>
        <v>125536</v>
      </c>
      <c r="H19" s="193">
        <f t="shared" si="4"/>
        <v>171069</v>
      </c>
      <c r="I19" s="343">
        <f t="shared" si="4"/>
        <v>117255</v>
      </c>
      <c r="J19" s="193">
        <f t="shared" si="4"/>
        <v>130388</v>
      </c>
      <c r="K19" s="343" t="s">
        <v>289</v>
      </c>
      <c r="L19" s="193" t="s">
        <v>290</v>
      </c>
      <c r="M19" s="343">
        <f>SUM(M20:M23)</f>
        <v>45807</v>
      </c>
      <c r="N19" s="193">
        <f>SUM(N20:N23)</f>
        <v>66475</v>
      </c>
    </row>
    <row r="20" spans="1:14">
      <c r="A20" s="27"/>
      <c r="B20" s="7"/>
      <c r="C20" s="7"/>
      <c r="D20" s="158" t="s">
        <v>719</v>
      </c>
      <c r="E20" s="372">
        <v>116963</v>
      </c>
      <c r="F20" s="393">
        <v>156575</v>
      </c>
      <c r="G20" s="372">
        <v>117272</v>
      </c>
      <c r="H20" s="393">
        <v>158875</v>
      </c>
      <c r="I20" s="372">
        <v>109324</v>
      </c>
      <c r="J20" s="393">
        <v>117816</v>
      </c>
      <c r="K20" s="372" t="s">
        <v>857</v>
      </c>
      <c r="L20" s="393" t="s">
        <v>857</v>
      </c>
      <c r="M20" s="372">
        <v>43171</v>
      </c>
      <c r="N20" s="393">
        <v>60666</v>
      </c>
    </row>
    <row r="21" spans="1:14">
      <c r="A21" s="27"/>
      <c r="B21" s="7"/>
      <c r="C21" s="7"/>
      <c r="D21" s="158" t="s">
        <v>47</v>
      </c>
      <c r="E21" s="372">
        <v>4986</v>
      </c>
      <c r="F21" s="393">
        <v>11028</v>
      </c>
      <c r="G21" s="372">
        <v>4736</v>
      </c>
      <c r="H21" s="393">
        <v>10027</v>
      </c>
      <c r="I21" s="372">
        <v>5007</v>
      </c>
      <c r="J21" s="393">
        <v>10537</v>
      </c>
      <c r="K21" s="372">
        <v>3632</v>
      </c>
      <c r="L21" s="393">
        <v>7713</v>
      </c>
      <c r="M21" s="372">
        <v>2601</v>
      </c>
      <c r="N21" s="393">
        <v>5773</v>
      </c>
    </row>
    <row r="22" spans="1:14">
      <c r="A22" s="27"/>
      <c r="B22" s="7"/>
      <c r="C22" s="7"/>
      <c r="D22" s="158" t="s">
        <v>611</v>
      </c>
      <c r="E22" s="372">
        <v>2676</v>
      </c>
      <c r="F22" s="393">
        <v>1466</v>
      </c>
      <c r="G22" s="372">
        <v>3528</v>
      </c>
      <c r="H22" s="393">
        <v>2167</v>
      </c>
      <c r="I22" s="372">
        <v>2924</v>
      </c>
      <c r="J22" s="393">
        <v>2035</v>
      </c>
      <c r="K22" s="372">
        <v>2384</v>
      </c>
      <c r="L22" s="393">
        <v>1635</v>
      </c>
      <c r="M22" s="372">
        <v>35</v>
      </c>
      <c r="N22" s="393">
        <v>36</v>
      </c>
    </row>
    <row r="23" spans="1:14">
      <c r="A23" s="27"/>
      <c r="B23" s="7"/>
      <c r="C23" s="7"/>
      <c r="D23" s="158" t="s">
        <v>80</v>
      </c>
      <c r="E23" s="372" t="s">
        <v>1229</v>
      </c>
      <c r="F23" s="393" t="s">
        <v>1229</v>
      </c>
      <c r="G23" s="372" t="s">
        <v>1229</v>
      </c>
      <c r="H23" s="393" t="s">
        <v>1229</v>
      </c>
      <c r="I23" s="372" t="s">
        <v>1229</v>
      </c>
      <c r="J23" s="393" t="s">
        <v>1229</v>
      </c>
      <c r="K23" s="372" t="s">
        <v>1229</v>
      </c>
      <c r="L23" s="393" t="s">
        <v>1229</v>
      </c>
      <c r="M23" s="372" t="s">
        <v>1229</v>
      </c>
      <c r="N23" s="393" t="s">
        <v>1229</v>
      </c>
    </row>
    <row r="24" spans="1:14" ht="24.75" customHeight="1">
      <c r="A24" s="27"/>
      <c r="B24" s="854" t="s">
        <v>1148</v>
      </c>
      <c r="C24" s="1933" t="s">
        <v>191</v>
      </c>
      <c r="D24" s="1937"/>
      <c r="E24" s="451">
        <f t="shared" ref="E24:J24" si="5">SUM(E25:E29)</f>
        <v>245698</v>
      </c>
      <c r="F24" s="479">
        <f t="shared" si="5"/>
        <v>214706</v>
      </c>
      <c r="G24" s="451">
        <f t="shared" si="5"/>
        <v>261181</v>
      </c>
      <c r="H24" s="479">
        <f t="shared" si="5"/>
        <v>231685</v>
      </c>
      <c r="I24" s="451">
        <f t="shared" si="5"/>
        <v>271271</v>
      </c>
      <c r="J24" s="479">
        <f t="shared" si="5"/>
        <v>241109</v>
      </c>
      <c r="K24" s="451" t="s">
        <v>291</v>
      </c>
      <c r="L24" s="479" t="s">
        <v>292</v>
      </c>
      <c r="M24" s="802">
        <f>SUM(M25:M29)</f>
        <v>204746</v>
      </c>
      <c r="N24" s="802">
        <f>SUM(N25:N29)</f>
        <v>218522</v>
      </c>
    </row>
    <row r="25" spans="1:14">
      <c r="A25" s="27"/>
      <c r="B25" s="7"/>
      <c r="C25" s="7"/>
      <c r="D25" s="158" t="s">
        <v>495</v>
      </c>
      <c r="E25" s="372">
        <v>236112</v>
      </c>
      <c r="F25" s="393">
        <v>201956</v>
      </c>
      <c r="G25" s="372">
        <v>250359</v>
      </c>
      <c r="H25" s="393">
        <v>217255</v>
      </c>
      <c r="I25" s="372">
        <v>260742</v>
      </c>
      <c r="J25" s="393">
        <v>226711</v>
      </c>
      <c r="K25" s="372" t="s">
        <v>857</v>
      </c>
      <c r="L25" s="393" t="s">
        <v>857</v>
      </c>
      <c r="M25" s="372">
        <v>187412</v>
      </c>
      <c r="N25" s="393">
        <v>192667</v>
      </c>
    </row>
    <row r="26" spans="1:14">
      <c r="A26" s="27"/>
      <c r="B26" s="7"/>
      <c r="C26" s="7"/>
      <c r="D26" s="158" t="s">
        <v>722</v>
      </c>
      <c r="E26" s="372">
        <v>1026</v>
      </c>
      <c r="F26" s="393">
        <v>271</v>
      </c>
      <c r="G26" s="372">
        <v>992</v>
      </c>
      <c r="H26" s="393">
        <v>270</v>
      </c>
      <c r="I26" s="372">
        <v>356</v>
      </c>
      <c r="J26" s="393">
        <v>358</v>
      </c>
      <c r="K26" s="372" t="s">
        <v>1229</v>
      </c>
      <c r="L26" s="393" t="s">
        <v>1229</v>
      </c>
      <c r="M26" s="372">
        <v>105</v>
      </c>
      <c r="N26" s="393" t="s">
        <v>1229</v>
      </c>
    </row>
    <row r="27" spans="1:14">
      <c r="A27" s="27"/>
      <c r="B27" s="7"/>
      <c r="C27" s="7"/>
      <c r="D27" s="158" t="s">
        <v>611</v>
      </c>
      <c r="E27" s="372">
        <v>1131</v>
      </c>
      <c r="F27" s="393">
        <v>688</v>
      </c>
      <c r="G27" s="372">
        <v>1186</v>
      </c>
      <c r="H27" s="393">
        <v>734</v>
      </c>
      <c r="I27" s="372">
        <v>1484</v>
      </c>
      <c r="J27" s="393">
        <v>907</v>
      </c>
      <c r="K27" s="372">
        <v>1057</v>
      </c>
      <c r="L27" s="393">
        <v>723</v>
      </c>
      <c r="M27" s="372">
        <v>4764</v>
      </c>
      <c r="N27" s="393">
        <v>3424</v>
      </c>
    </row>
    <row r="28" spans="1:14">
      <c r="A28" s="27"/>
      <c r="B28" s="7"/>
      <c r="C28" s="7"/>
      <c r="D28" s="158" t="s">
        <v>80</v>
      </c>
      <c r="E28" s="372" t="s">
        <v>1229</v>
      </c>
      <c r="F28" s="393" t="s">
        <v>1229</v>
      </c>
      <c r="G28" s="372" t="s">
        <v>1229</v>
      </c>
      <c r="H28" s="393" t="s">
        <v>1229</v>
      </c>
      <c r="I28" s="372" t="s">
        <v>1229</v>
      </c>
      <c r="J28" s="393" t="s">
        <v>1229</v>
      </c>
      <c r="K28" s="372" t="s">
        <v>1229</v>
      </c>
      <c r="L28" s="393" t="s">
        <v>1229</v>
      </c>
      <c r="M28" s="372" t="s">
        <v>1229</v>
      </c>
      <c r="N28" s="393" t="s">
        <v>1229</v>
      </c>
    </row>
    <row r="29" spans="1:14">
      <c r="A29" s="27"/>
      <c r="B29" s="7"/>
      <c r="C29" s="7"/>
      <c r="D29" s="1004" t="s">
        <v>1150</v>
      </c>
      <c r="E29" s="963">
        <v>7429</v>
      </c>
      <c r="F29" s="963">
        <v>11791</v>
      </c>
      <c r="G29" s="963">
        <v>8644</v>
      </c>
      <c r="H29" s="963">
        <v>13426</v>
      </c>
      <c r="I29" s="963">
        <v>8689</v>
      </c>
      <c r="J29" s="963">
        <v>13133</v>
      </c>
      <c r="K29" s="963">
        <v>10291</v>
      </c>
      <c r="L29" s="963">
        <v>16911</v>
      </c>
      <c r="M29" s="963">
        <v>12465</v>
      </c>
      <c r="N29" s="963">
        <v>22431</v>
      </c>
    </row>
    <row r="30" spans="1:14">
      <c r="A30" s="834" t="s">
        <v>1376</v>
      </c>
      <c r="B30" s="849" t="s">
        <v>473</v>
      </c>
      <c r="C30" s="849"/>
      <c r="D30" s="1044"/>
      <c r="E30" s="1195" t="s">
        <v>1529</v>
      </c>
      <c r="F30" s="1195" t="s">
        <v>1530</v>
      </c>
      <c r="G30" s="1195" t="s">
        <v>1531</v>
      </c>
      <c r="H30" s="1195" t="s">
        <v>1532</v>
      </c>
      <c r="I30" s="1195" t="s">
        <v>795</v>
      </c>
      <c r="J30" s="1195" t="s">
        <v>796</v>
      </c>
      <c r="K30" s="1195" t="s">
        <v>969</v>
      </c>
      <c r="L30" s="1195" t="s">
        <v>970</v>
      </c>
      <c r="M30" s="1195" t="s">
        <v>1857</v>
      </c>
      <c r="N30" s="1195" t="s">
        <v>1858</v>
      </c>
    </row>
    <row r="31" spans="1:14" ht="24.75" customHeight="1">
      <c r="A31" s="1015" t="s">
        <v>1377</v>
      </c>
      <c r="B31" s="1932" t="s">
        <v>190</v>
      </c>
      <c r="C31" s="1911"/>
      <c r="D31" s="1912"/>
      <c r="E31" s="191" t="s">
        <v>1229</v>
      </c>
      <c r="F31" s="190" t="s">
        <v>1229</v>
      </c>
      <c r="G31" s="191" t="s">
        <v>1229</v>
      </c>
      <c r="H31" s="190" t="s">
        <v>1229</v>
      </c>
      <c r="I31" s="191" t="s">
        <v>1229</v>
      </c>
      <c r="J31" s="190" t="s">
        <v>1229</v>
      </c>
      <c r="K31" s="191" t="s">
        <v>1229</v>
      </c>
      <c r="L31" s="190" t="s">
        <v>1229</v>
      </c>
      <c r="M31" s="191" t="s">
        <v>1229</v>
      </c>
      <c r="N31" s="190" t="s">
        <v>1229</v>
      </c>
    </row>
    <row r="32" spans="1:14">
      <c r="A32" s="1016" t="s">
        <v>1378</v>
      </c>
      <c r="B32" s="855" t="s">
        <v>474</v>
      </c>
      <c r="C32" s="855"/>
      <c r="D32" s="856"/>
      <c r="E32" s="1196">
        <v>1537</v>
      </c>
      <c r="F32" s="1197">
        <v>907</v>
      </c>
      <c r="G32" s="1196">
        <v>1602</v>
      </c>
      <c r="H32" s="1197">
        <v>903</v>
      </c>
      <c r="I32" s="1196">
        <v>1198</v>
      </c>
      <c r="J32" s="1197">
        <v>877</v>
      </c>
      <c r="K32" s="1196">
        <v>1096</v>
      </c>
      <c r="L32" s="1197">
        <v>734</v>
      </c>
      <c r="M32" s="1196">
        <v>2264</v>
      </c>
      <c r="N32" s="1197">
        <v>1707</v>
      </c>
    </row>
    <row r="33" spans="1:14" ht="12" customHeight="1">
      <c r="A33" s="1198"/>
      <c r="B33" s="1172"/>
      <c r="C33" s="1172"/>
      <c r="D33" s="1154"/>
      <c r="E33" s="1172"/>
      <c r="F33" s="1172"/>
      <c r="H33" s="1163" t="s">
        <v>1446</v>
      </c>
      <c r="I33" s="1017" t="s">
        <v>386</v>
      </c>
      <c r="J33" s="1017"/>
      <c r="K33" s="1017"/>
      <c r="L33" s="1017"/>
      <c r="M33" s="1017"/>
      <c r="N33" s="102"/>
    </row>
    <row r="34" spans="1:14" ht="12" customHeight="1">
      <c r="A34" s="1172"/>
      <c r="B34" s="1172"/>
      <c r="C34" s="1172"/>
      <c r="D34" s="1198"/>
      <c r="E34" s="1172"/>
      <c r="F34" s="1172"/>
      <c r="H34" s="1017"/>
      <c r="I34" s="1017" t="s">
        <v>387</v>
      </c>
      <c r="J34" s="1017"/>
      <c r="K34" s="1017"/>
      <c r="L34" s="1017"/>
      <c r="M34" s="1017"/>
      <c r="N34" s="102"/>
    </row>
    <row r="35" spans="1:14" ht="12" customHeight="1">
      <c r="A35" s="1172"/>
      <c r="B35" s="1172"/>
      <c r="C35" s="1172"/>
      <c r="D35" s="1172"/>
      <c r="E35" s="1172"/>
      <c r="F35" s="1172"/>
      <c r="H35" s="1017"/>
      <c r="I35" s="1014" t="s">
        <v>215</v>
      </c>
      <c r="J35" s="1014"/>
      <c r="K35" s="1014"/>
      <c r="L35" s="1014"/>
      <c r="M35" s="1014"/>
      <c r="N35" s="104"/>
    </row>
    <row r="36" spans="1:14" ht="12" customHeight="1">
      <c r="A36" s="1172"/>
      <c r="B36" s="1172"/>
      <c r="C36" s="1172"/>
      <c r="D36" s="1172"/>
      <c r="E36" s="1172"/>
      <c r="F36" s="1172"/>
      <c r="H36" s="1017"/>
      <c r="I36" s="1014" t="s">
        <v>491</v>
      </c>
      <c r="J36" s="1014"/>
      <c r="K36" s="1014"/>
      <c r="L36" s="1014"/>
      <c r="M36" s="1014"/>
      <c r="N36" s="104"/>
    </row>
    <row r="37" spans="1:14" ht="12" customHeight="1">
      <c r="A37" s="1172"/>
      <c r="B37" s="1172"/>
      <c r="C37" s="1172"/>
      <c r="D37" s="1172"/>
      <c r="E37" s="1172"/>
      <c r="F37" s="1172"/>
      <c r="H37" s="1017"/>
      <c r="I37" s="1017" t="s">
        <v>1149</v>
      </c>
      <c r="J37" s="1017"/>
      <c r="K37" s="1017"/>
      <c r="L37" s="1017"/>
      <c r="M37" s="1017"/>
      <c r="N37" s="102"/>
    </row>
    <row r="38" spans="1:14" ht="12" customHeight="1">
      <c r="A38" s="1172"/>
      <c r="B38" s="1172"/>
      <c r="C38" s="1172"/>
      <c r="D38" s="1172"/>
      <c r="E38" s="1172"/>
      <c r="F38" s="1172"/>
      <c r="H38" s="1017"/>
      <c r="I38" s="1017" t="s">
        <v>573</v>
      </c>
      <c r="J38" s="1017"/>
      <c r="K38" s="1017"/>
      <c r="L38" s="1017"/>
      <c r="M38" s="1017"/>
      <c r="N38" s="102"/>
    </row>
    <row r="39" spans="1:14" ht="12" customHeight="1">
      <c r="A39" s="1172"/>
      <c r="B39" s="1172"/>
      <c r="C39" s="1172"/>
      <c r="D39" s="1172"/>
      <c r="E39" s="1172"/>
      <c r="F39" s="1172"/>
      <c r="H39" s="1017"/>
      <c r="I39" s="1017" t="s">
        <v>1408</v>
      </c>
      <c r="J39" s="1017"/>
      <c r="K39" s="1017"/>
      <c r="L39" s="1017"/>
      <c r="M39" s="1017"/>
      <c r="N39" s="102"/>
    </row>
    <row r="40" spans="1:14">
      <c r="A40" s="50"/>
      <c r="B40" s="50"/>
      <c r="C40" s="50"/>
      <c r="D40" s="50"/>
      <c r="E40" s="50"/>
      <c r="F40" s="50"/>
      <c r="G40" s="50"/>
      <c r="H40" s="50"/>
      <c r="I40" s="50"/>
      <c r="J40" s="50"/>
      <c r="K40" s="50"/>
      <c r="L40" s="50"/>
      <c r="M40" s="50"/>
      <c r="N40" s="50"/>
    </row>
    <row r="41" spans="1:14">
      <c r="A41" s="50"/>
      <c r="B41" s="50"/>
      <c r="C41" s="50"/>
      <c r="D41" s="50"/>
      <c r="E41" s="50"/>
      <c r="F41" s="50"/>
      <c r="G41" s="50"/>
      <c r="H41" s="50"/>
      <c r="I41" s="50"/>
      <c r="J41" s="50"/>
      <c r="K41" s="50"/>
      <c r="L41" s="50"/>
      <c r="M41" s="50"/>
      <c r="N41" s="50"/>
    </row>
    <row r="42" spans="1:14">
      <c r="A42" s="50"/>
      <c r="B42" s="50"/>
      <c r="C42" s="50"/>
      <c r="D42" s="50"/>
      <c r="E42" s="50"/>
      <c r="F42" s="50"/>
      <c r="G42" s="50"/>
      <c r="H42" s="50"/>
      <c r="I42" s="50"/>
      <c r="J42" s="50"/>
      <c r="K42" s="50"/>
      <c r="L42" s="50"/>
      <c r="M42" s="50"/>
      <c r="N42" s="50"/>
    </row>
    <row r="43" spans="1:14">
      <c r="A43" s="50"/>
      <c r="B43" s="50"/>
      <c r="C43" s="50"/>
      <c r="D43" s="50"/>
      <c r="E43" s="50"/>
      <c r="F43" s="50"/>
      <c r="G43" s="50"/>
      <c r="H43" s="50"/>
      <c r="I43" s="50"/>
      <c r="J43" s="50"/>
      <c r="K43" s="50"/>
      <c r="L43" s="50"/>
      <c r="M43" s="50"/>
      <c r="N43" s="50"/>
    </row>
  </sheetData>
  <mergeCells count="16">
    <mergeCell ref="B31:D31"/>
    <mergeCell ref="C14:D14"/>
    <mergeCell ref="A1:N1"/>
    <mergeCell ref="B8:D8"/>
    <mergeCell ref="C9:D9"/>
    <mergeCell ref="C24:D24"/>
    <mergeCell ref="A2:N2"/>
    <mergeCell ref="A7:D7"/>
    <mergeCell ref="M5:N5"/>
    <mergeCell ref="C19:D19"/>
    <mergeCell ref="E5:F5"/>
    <mergeCell ref="G5:H5"/>
    <mergeCell ref="I5:J5"/>
    <mergeCell ref="K5:L5"/>
    <mergeCell ref="A4:D6"/>
    <mergeCell ref="E4:N4"/>
  </mergeCells>
  <phoneticPr fontId="0" type="noConversion"/>
  <conditionalFormatting sqref="E5 G5 I5:L5 A1:D1048576 E6:L65536 E1:L4 R6:Y65536 Z1:IV1048576 R1:Y4 M1:Q1048576">
    <cfRule type="cellIs" dxfId="23" priority="1" stopIfTrue="1" operator="equal">
      <formula>".."</formula>
    </cfRule>
  </conditionalFormatting>
  <printOptions horizontalCentered="1"/>
  <pageMargins left="0.1" right="0.1" top="0.39" bottom="0.1" header="0.42" footer="0.1"/>
  <pageSetup paperSize="9" orientation="landscape" blackAndWhite="1" r:id="rId1"/>
  <headerFooter alignWithMargins="0"/>
</worksheet>
</file>

<file path=xl/worksheets/sheet32.xml><?xml version="1.0" encoding="utf-8"?>
<worksheet xmlns="http://schemas.openxmlformats.org/spreadsheetml/2006/main" xmlns:r="http://schemas.openxmlformats.org/officeDocument/2006/relationships">
  <sheetPr codeName="Sheet30"/>
  <dimension ref="A1:N37"/>
  <sheetViews>
    <sheetView topLeftCell="A19" workbookViewId="0">
      <selection activeCell="J11" sqref="J11"/>
    </sheetView>
  </sheetViews>
  <sheetFormatPr defaultRowHeight="12.75"/>
  <cols>
    <col min="1" max="1" width="2" customWidth="1"/>
    <col min="2" max="2" width="2.7109375" customWidth="1"/>
    <col min="3" max="3" width="1.28515625" customWidth="1"/>
    <col min="4" max="4" width="50.85546875" customWidth="1"/>
    <col min="5" max="14" width="7.42578125" customWidth="1"/>
  </cols>
  <sheetData>
    <row r="1" spans="1:14">
      <c r="A1" s="1899" t="s">
        <v>355</v>
      </c>
      <c r="B1" s="1899"/>
      <c r="C1" s="1899"/>
      <c r="D1" s="1899"/>
      <c r="E1" s="1899"/>
      <c r="F1" s="1899"/>
      <c r="G1" s="1899"/>
      <c r="H1" s="1899"/>
      <c r="I1" s="1899"/>
      <c r="J1" s="1899"/>
      <c r="K1" s="1899"/>
      <c r="L1" s="1899"/>
      <c r="M1" s="1899"/>
      <c r="N1" s="1899"/>
    </row>
    <row r="2" spans="1:14" ht="31.5" customHeight="1">
      <c r="A2" s="1796" t="str">
        <f>CONCATENATE("Students by sex in different type of Professional &amp; Technical Educational Institutions
 in the district of ",District!A1)</f>
        <v>Students by sex in different type of Professional &amp; Technical Educational Institutions
 in the district of South 24-Parganas</v>
      </c>
      <c r="B2" s="1796"/>
      <c r="C2" s="1796"/>
      <c r="D2" s="1796"/>
      <c r="E2" s="1796"/>
      <c r="F2" s="1796"/>
      <c r="G2" s="1796"/>
      <c r="H2" s="1796"/>
      <c r="I2" s="1796"/>
      <c r="J2" s="1796"/>
      <c r="K2" s="1796"/>
      <c r="L2" s="1796"/>
      <c r="M2" s="1796"/>
      <c r="N2" s="1796"/>
    </row>
    <row r="3" spans="1:14">
      <c r="B3" s="98"/>
      <c r="N3" s="92" t="s">
        <v>977</v>
      </c>
    </row>
    <row r="4" spans="1:14">
      <c r="A4" s="1723" t="s">
        <v>370</v>
      </c>
      <c r="B4" s="1890"/>
      <c r="C4" s="1890"/>
      <c r="D4" s="1724"/>
      <c r="E4" s="1891" t="s">
        <v>671</v>
      </c>
      <c r="F4" s="1892"/>
      <c r="G4" s="1892"/>
      <c r="H4" s="1892"/>
      <c r="I4" s="1892"/>
      <c r="J4" s="1892"/>
      <c r="K4" s="1892"/>
      <c r="L4" s="1892"/>
      <c r="M4" s="1892"/>
      <c r="N4" s="1893"/>
    </row>
    <row r="5" spans="1:14">
      <c r="A5" s="1762"/>
      <c r="B5" s="1740"/>
      <c r="C5" s="1740"/>
      <c r="D5" s="1947"/>
      <c r="E5" s="1732" t="s">
        <v>1317</v>
      </c>
      <c r="F5" s="1714"/>
      <c r="G5" s="1732" t="s">
        <v>221</v>
      </c>
      <c r="H5" s="1714"/>
      <c r="I5" s="1713" t="s">
        <v>1301</v>
      </c>
      <c r="J5" s="1714"/>
      <c r="K5" s="1713" t="s">
        <v>621</v>
      </c>
      <c r="L5" s="1714"/>
      <c r="M5" s="1713" t="s">
        <v>206</v>
      </c>
      <c r="N5" s="1714"/>
    </row>
    <row r="6" spans="1:14">
      <c r="A6" s="1725"/>
      <c r="B6" s="1741"/>
      <c r="C6" s="1741"/>
      <c r="D6" s="1726"/>
      <c r="E6" s="341" t="s">
        <v>1003</v>
      </c>
      <c r="F6" s="143" t="s">
        <v>1004</v>
      </c>
      <c r="G6" s="142" t="s">
        <v>1003</v>
      </c>
      <c r="H6" s="341" t="s">
        <v>1004</v>
      </c>
      <c r="I6" s="341" t="s">
        <v>1003</v>
      </c>
      <c r="J6" s="143" t="s">
        <v>1004</v>
      </c>
      <c r="K6" s="142" t="s">
        <v>1003</v>
      </c>
      <c r="L6" s="341" t="s">
        <v>1004</v>
      </c>
      <c r="M6" s="341" t="s">
        <v>1003</v>
      </c>
      <c r="N6" s="341" t="s">
        <v>1004</v>
      </c>
    </row>
    <row r="7" spans="1:14">
      <c r="A7" s="1716" t="s">
        <v>928</v>
      </c>
      <c r="B7" s="1717"/>
      <c r="C7" s="1717"/>
      <c r="D7" s="1797"/>
      <c r="E7" s="623" t="s">
        <v>929</v>
      </c>
      <c r="F7" s="622" t="s">
        <v>930</v>
      </c>
      <c r="G7" s="621" t="s">
        <v>931</v>
      </c>
      <c r="H7" s="623" t="s">
        <v>932</v>
      </c>
      <c r="I7" s="623" t="s">
        <v>933</v>
      </c>
      <c r="J7" s="624" t="s">
        <v>934</v>
      </c>
      <c r="K7" s="625" t="s">
        <v>959</v>
      </c>
      <c r="L7" s="626" t="s">
        <v>960</v>
      </c>
      <c r="M7" s="623" t="s">
        <v>961</v>
      </c>
      <c r="N7" s="626" t="s">
        <v>962</v>
      </c>
    </row>
    <row r="8" spans="1:14">
      <c r="A8" s="771" t="s">
        <v>1375</v>
      </c>
      <c r="B8" s="1943" t="s">
        <v>243</v>
      </c>
      <c r="C8" s="1943"/>
      <c r="D8" s="1944"/>
      <c r="E8" s="1190">
        <f>SUM(E9,E14,E17)</f>
        <v>1444</v>
      </c>
      <c r="F8" s="1190">
        <f>SUM(F9,F14,F17)</f>
        <v>275</v>
      </c>
      <c r="G8" s="1190">
        <f>SUM(G9,G14,G17)</f>
        <v>1322</v>
      </c>
      <c r="H8" s="1190">
        <f>SUM(H9,H14,H17)</f>
        <v>273</v>
      </c>
      <c r="I8" s="1190">
        <f t="shared" ref="I8:N8" si="0">SUM(I9,I14,I17)</f>
        <v>762</v>
      </c>
      <c r="J8" s="1190">
        <f t="shared" si="0"/>
        <v>368</v>
      </c>
      <c r="K8" s="1190">
        <f t="shared" si="0"/>
        <v>945</v>
      </c>
      <c r="L8" s="1190">
        <f t="shared" si="0"/>
        <v>339</v>
      </c>
      <c r="M8" s="1190">
        <f t="shared" si="0"/>
        <v>923</v>
      </c>
      <c r="N8" s="1190">
        <f t="shared" si="0"/>
        <v>376</v>
      </c>
    </row>
    <row r="9" spans="1:14">
      <c r="A9" s="404"/>
      <c r="B9" s="470" t="s">
        <v>1147</v>
      </c>
      <c r="C9" s="848" t="s">
        <v>1155</v>
      </c>
      <c r="D9" s="847"/>
      <c r="E9" s="1191">
        <f t="shared" ref="E9:J9" si="1">IF(SUM(E10:E13)=0,"-",SUM(E10:E13))</f>
        <v>418</v>
      </c>
      <c r="F9" s="1191">
        <f t="shared" si="1"/>
        <v>4</v>
      </c>
      <c r="G9" s="1191">
        <f t="shared" si="1"/>
        <v>330</v>
      </c>
      <c r="H9" s="1191">
        <f t="shared" si="1"/>
        <v>3</v>
      </c>
      <c r="I9" s="1191">
        <f t="shared" si="1"/>
        <v>406</v>
      </c>
      <c r="J9" s="1191">
        <f t="shared" si="1"/>
        <v>10</v>
      </c>
      <c r="K9" s="1191">
        <f>IF(SUM(K10:K13)=0,"-",SUM(K10:K13))</f>
        <v>495</v>
      </c>
      <c r="L9" s="1191">
        <f>IF(SUM(L10:L13)=0,"-",SUM(L10:L13))</f>
        <v>14</v>
      </c>
      <c r="M9" s="1191">
        <v>282</v>
      </c>
      <c r="N9" s="1191">
        <v>14</v>
      </c>
    </row>
    <row r="10" spans="1:14">
      <c r="A10" s="404"/>
      <c r="B10" s="406"/>
      <c r="C10" s="406"/>
      <c r="D10" s="158" t="s">
        <v>1157</v>
      </c>
      <c r="E10" s="394" t="s">
        <v>1229</v>
      </c>
      <c r="F10" s="394" t="s">
        <v>1229</v>
      </c>
      <c r="G10" s="394" t="s">
        <v>1229</v>
      </c>
      <c r="H10" s="394" t="s">
        <v>1229</v>
      </c>
      <c r="I10" s="394" t="s">
        <v>1229</v>
      </c>
      <c r="J10" s="394" t="s">
        <v>1229</v>
      </c>
      <c r="K10" s="394" t="s">
        <v>1229</v>
      </c>
      <c r="L10" s="394" t="s">
        <v>1229</v>
      </c>
      <c r="M10" s="394" t="s">
        <v>1229</v>
      </c>
      <c r="N10" s="394" t="s">
        <v>1229</v>
      </c>
    </row>
    <row r="11" spans="1:14">
      <c r="A11" s="404"/>
      <c r="B11" s="406"/>
      <c r="C11" s="406"/>
      <c r="D11" s="158" t="s">
        <v>1158</v>
      </c>
      <c r="E11" s="394" t="s">
        <v>1229</v>
      </c>
      <c r="F11" s="394" t="s">
        <v>1229</v>
      </c>
      <c r="G11" s="394" t="s">
        <v>1229</v>
      </c>
      <c r="H11" s="394" t="s">
        <v>1229</v>
      </c>
      <c r="I11" s="394" t="s">
        <v>1229</v>
      </c>
      <c r="J11" s="394" t="s">
        <v>1229</v>
      </c>
      <c r="K11" s="394" t="s">
        <v>1229</v>
      </c>
      <c r="L11" s="394" t="s">
        <v>1229</v>
      </c>
      <c r="M11" s="394" t="s">
        <v>1229</v>
      </c>
      <c r="N11" s="394" t="s">
        <v>1229</v>
      </c>
    </row>
    <row r="12" spans="1:14">
      <c r="A12" s="404"/>
      <c r="B12" s="406"/>
      <c r="C12" s="406"/>
      <c r="D12" s="158" t="s">
        <v>1159</v>
      </c>
      <c r="E12" s="394">
        <v>119</v>
      </c>
      <c r="F12" s="394">
        <v>4</v>
      </c>
      <c r="G12" s="394">
        <v>33</v>
      </c>
      <c r="H12" s="394">
        <v>3</v>
      </c>
      <c r="I12" s="394">
        <v>109</v>
      </c>
      <c r="J12" s="394">
        <v>10</v>
      </c>
      <c r="K12" s="394">
        <v>112</v>
      </c>
      <c r="L12" s="394">
        <v>14</v>
      </c>
      <c r="M12" s="394">
        <v>153</v>
      </c>
      <c r="N12" s="394" t="s">
        <v>1229</v>
      </c>
    </row>
    <row r="13" spans="1:14">
      <c r="A13" s="404"/>
      <c r="B13" s="406"/>
      <c r="C13" s="406"/>
      <c r="D13" s="158" t="s">
        <v>613</v>
      </c>
      <c r="E13" s="394">
        <v>299</v>
      </c>
      <c r="F13" s="1078" t="s">
        <v>1229</v>
      </c>
      <c r="G13" s="394">
        <v>297</v>
      </c>
      <c r="H13" s="1078" t="s">
        <v>1229</v>
      </c>
      <c r="I13" s="394">
        <v>297</v>
      </c>
      <c r="J13" s="1078" t="s">
        <v>1229</v>
      </c>
      <c r="K13" s="394">
        <v>383</v>
      </c>
      <c r="L13" s="1078" t="s">
        <v>1229</v>
      </c>
      <c r="M13" s="394">
        <v>129</v>
      </c>
      <c r="N13" s="1078">
        <v>14</v>
      </c>
    </row>
    <row r="14" spans="1:14">
      <c r="A14" s="404"/>
      <c r="B14" s="471" t="s">
        <v>1145</v>
      </c>
      <c r="C14" s="848" t="s">
        <v>1160</v>
      </c>
      <c r="D14" s="847"/>
      <c r="E14" s="964" t="s">
        <v>857</v>
      </c>
      <c r="F14" s="964" t="s">
        <v>857</v>
      </c>
      <c r="G14" s="964" t="s">
        <v>857</v>
      </c>
      <c r="H14" s="964" t="s">
        <v>857</v>
      </c>
      <c r="I14" s="964" t="s">
        <v>857</v>
      </c>
      <c r="J14" s="964" t="s">
        <v>857</v>
      </c>
      <c r="K14" s="964" t="s">
        <v>857</v>
      </c>
      <c r="L14" s="964" t="s">
        <v>857</v>
      </c>
      <c r="M14" s="964">
        <v>71</v>
      </c>
      <c r="N14" s="964">
        <v>29</v>
      </c>
    </row>
    <row r="15" spans="1:14" ht="12.75" customHeight="1">
      <c r="A15" s="404"/>
      <c r="B15" s="406"/>
      <c r="C15" s="406"/>
      <c r="D15" s="1040" t="s">
        <v>1161</v>
      </c>
      <c r="E15" s="1078" t="s">
        <v>857</v>
      </c>
      <c r="F15" s="1078" t="s">
        <v>857</v>
      </c>
      <c r="G15" s="1078" t="s">
        <v>857</v>
      </c>
      <c r="H15" s="1078" t="s">
        <v>857</v>
      </c>
      <c r="I15" s="1078" t="s">
        <v>857</v>
      </c>
      <c r="J15" s="1078" t="s">
        <v>857</v>
      </c>
      <c r="K15" s="1078" t="s">
        <v>857</v>
      </c>
      <c r="L15" s="1078" t="s">
        <v>857</v>
      </c>
      <c r="M15" s="1078">
        <v>71</v>
      </c>
      <c r="N15" s="1078">
        <v>29</v>
      </c>
    </row>
    <row r="16" spans="1:14">
      <c r="A16" s="404"/>
      <c r="B16" s="406"/>
      <c r="C16" s="406"/>
      <c r="D16" s="158" t="s">
        <v>1162</v>
      </c>
      <c r="E16" s="394" t="s">
        <v>1229</v>
      </c>
      <c r="F16" s="394" t="s">
        <v>1229</v>
      </c>
      <c r="G16" s="394" t="s">
        <v>1229</v>
      </c>
      <c r="H16" s="394" t="s">
        <v>1229</v>
      </c>
      <c r="I16" s="394" t="s">
        <v>1229</v>
      </c>
      <c r="J16" s="394" t="s">
        <v>1229</v>
      </c>
      <c r="K16" s="394" t="s">
        <v>1229</v>
      </c>
      <c r="L16" s="394" t="s">
        <v>1229</v>
      </c>
      <c r="M16" s="394" t="s">
        <v>1229</v>
      </c>
      <c r="N16" s="394" t="s">
        <v>1229</v>
      </c>
    </row>
    <row r="17" spans="1:14" ht="27" customHeight="1">
      <c r="A17" s="404"/>
      <c r="B17" s="539" t="s">
        <v>1146</v>
      </c>
      <c r="C17" s="1945" t="s">
        <v>360</v>
      </c>
      <c r="D17" s="1946"/>
      <c r="E17" s="171">
        <v>1026</v>
      </c>
      <c r="F17" s="171">
        <v>271</v>
      </c>
      <c r="G17" s="171">
        <v>992</v>
      </c>
      <c r="H17" s="171">
        <v>270</v>
      </c>
      <c r="I17" s="171">
        <v>356</v>
      </c>
      <c r="J17" s="171">
        <v>358</v>
      </c>
      <c r="K17" s="171">
        <v>450</v>
      </c>
      <c r="L17" s="171">
        <v>325</v>
      </c>
      <c r="M17" s="171">
        <v>570</v>
      </c>
      <c r="N17" s="171">
        <v>333</v>
      </c>
    </row>
    <row r="18" spans="1:14">
      <c r="A18" s="771" t="s">
        <v>1376</v>
      </c>
      <c r="B18" s="1943" t="s">
        <v>250</v>
      </c>
      <c r="C18" s="1943"/>
      <c r="D18" s="1944"/>
      <c r="E18" s="354">
        <f>SUM(E19,E26,E29)</f>
        <v>4155</v>
      </c>
      <c r="F18" s="1193">
        <f>SUM(F19,F26,F29)</f>
        <v>2116</v>
      </c>
      <c r="G18" s="354">
        <f>SUM(G19,G26,G29)</f>
        <v>4524</v>
      </c>
      <c r="H18" s="1193">
        <f>SUM(H19,H26,H29)</f>
        <v>2171</v>
      </c>
      <c r="I18" s="354">
        <f t="shared" ref="I18:N18" si="2">SUM(I19,I26,I29)</f>
        <v>4921</v>
      </c>
      <c r="J18" s="1193">
        <f t="shared" si="2"/>
        <v>2037</v>
      </c>
      <c r="K18" s="354">
        <f t="shared" si="2"/>
        <v>6472</v>
      </c>
      <c r="L18" s="1193">
        <f t="shared" si="2"/>
        <v>2579</v>
      </c>
      <c r="M18" s="354">
        <f t="shared" si="2"/>
        <v>7821</v>
      </c>
      <c r="N18" s="1193">
        <f t="shared" si="2"/>
        <v>3138</v>
      </c>
    </row>
    <row r="19" spans="1:14">
      <c r="A19" s="404"/>
      <c r="B19" s="475" t="s">
        <v>1147</v>
      </c>
      <c r="C19" s="1135" t="s">
        <v>1163</v>
      </c>
      <c r="D19" s="803"/>
      <c r="E19" s="1192">
        <f t="shared" ref="E19:L19" si="3">IF(SUM(E20:E25)=0,"-",SUM(E20:E25))</f>
        <v>3549</v>
      </c>
      <c r="F19" s="1192">
        <f t="shared" si="3"/>
        <v>1545</v>
      </c>
      <c r="G19" s="1192">
        <f t="shared" si="3"/>
        <v>3936</v>
      </c>
      <c r="H19" s="1192">
        <f t="shared" si="3"/>
        <v>1605</v>
      </c>
      <c r="I19" s="1192">
        <f t="shared" si="3"/>
        <v>4428</v>
      </c>
      <c r="J19" s="1192">
        <f t="shared" si="3"/>
        <v>1464</v>
      </c>
      <c r="K19" s="1192">
        <f t="shared" si="3"/>
        <v>6053</v>
      </c>
      <c r="L19" s="1192">
        <f t="shared" si="3"/>
        <v>1977</v>
      </c>
      <c r="M19" s="1192">
        <v>7346</v>
      </c>
      <c r="N19" s="1192">
        <v>2459</v>
      </c>
    </row>
    <row r="20" spans="1:14" ht="25.5" customHeight="1">
      <c r="A20" s="404"/>
      <c r="B20" s="406"/>
      <c r="C20" s="436"/>
      <c r="D20" s="1040" t="s">
        <v>505</v>
      </c>
      <c r="E20" s="394" t="s">
        <v>1229</v>
      </c>
      <c r="F20" s="394" t="s">
        <v>1229</v>
      </c>
      <c r="G20" s="394" t="s">
        <v>1229</v>
      </c>
      <c r="H20" s="394" t="s">
        <v>1229</v>
      </c>
      <c r="I20" s="394" t="s">
        <v>1229</v>
      </c>
      <c r="J20" s="394" t="s">
        <v>1229</v>
      </c>
      <c r="K20" s="394" t="s">
        <v>1229</v>
      </c>
      <c r="L20" s="394" t="s">
        <v>1229</v>
      </c>
      <c r="M20" s="394" t="s">
        <v>1229</v>
      </c>
      <c r="N20" s="394" t="s">
        <v>1229</v>
      </c>
    </row>
    <row r="21" spans="1:14">
      <c r="A21" s="404"/>
      <c r="B21" s="406"/>
      <c r="C21" s="436"/>
      <c r="D21" s="483" t="s">
        <v>1164</v>
      </c>
      <c r="E21" s="394">
        <v>2362</v>
      </c>
      <c r="F21" s="394">
        <v>1264</v>
      </c>
      <c r="G21" s="394">
        <v>2756</v>
      </c>
      <c r="H21" s="394">
        <v>1359</v>
      </c>
      <c r="I21" s="394">
        <v>3152</v>
      </c>
      <c r="J21" s="394">
        <v>1230</v>
      </c>
      <c r="K21" s="394">
        <v>4880</v>
      </c>
      <c r="L21" s="394">
        <v>1734</v>
      </c>
      <c r="M21" s="394">
        <v>6211</v>
      </c>
      <c r="N21" s="394">
        <v>2205</v>
      </c>
    </row>
    <row r="22" spans="1:14">
      <c r="A22" s="404"/>
      <c r="B22" s="406"/>
      <c r="C22" s="436"/>
      <c r="D22" s="483" t="s">
        <v>1165</v>
      </c>
      <c r="E22" s="394">
        <v>1187</v>
      </c>
      <c r="F22" s="394">
        <v>281</v>
      </c>
      <c r="G22" s="394">
        <v>1180</v>
      </c>
      <c r="H22" s="394">
        <v>246</v>
      </c>
      <c r="I22" s="394">
        <v>1276</v>
      </c>
      <c r="J22" s="394">
        <v>234</v>
      </c>
      <c r="K22" s="394">
        <v>1173</v>
      </c>
      <c r="L22" s="394">
        <v>243</v>
      </c>
      <c r="M22" s="394">
        <v>1135</v>
      </c>
      <c r="N22" s="394">
        <v>254</v>
      </c>
    </row>
    <row r="23" spans="1:14">
      <c r="A23" s="404"/>
      <c r="B23" s="406"/>
      <c r="C23" s="436"/>
      <c r="D23" s="483" t="s">
        <v>1166</v>
      </c>
      <c r="E23" s="394" t="s">
        <v>1229</v>
      </c>
      <c r="F23" s="394" t="s">
        <v>1229</v>
      </c>
      <c r="G23" s="394" t="s">
        <v>1229</v>
      </c>
      <c r="H23" s="394" t="s">
        <v>1229</v>
      </c>
      <c r="I23" s="394" t="s">
        <v>1229</v>
      </c>
      <c r="J23" s="394" t="s">
        <v>1229</v>
      </c>
      <c r="K23" s="394" t="s">
        <v>1229</v>
      </c>
      <c r="L23" s="394" t="s">
        <v>1229</v>
      </c>
      <c r="M23" s="394" t="s">
        <v>1229</v>
      </c>
      <c r="N23" s="394" t="s">
        <v>1229</v>
      </c>
    </row>
    <row r="24" spans="1:14">
      <c r="A24" s="404"/>
      <c r="B24" s="406"/>
      <c r="C24" s="436"/>
      <c r="D24" s="483" t="s">
        <v>1167</v>
      </c>
      <c r="E24" s="394" t="s">
        <v>1229</v>
      </c>
      <c r="F24" s="394" t="s">
        <v>1229</v>
      </c>
      <c r="G24" s="394" t="s">
        <v>1229</v>
      </c>
      <c r="H24" s="394" t="s">
        <v>1229</v>
      </c>
      <c r="I24" s="394" t="s">
        <v>1229</v>
      </c>
      <c r="J24" s="394" t="s">
        <v>1229</v>
      </c>
      <c r="K24" s="394" t="s">
        <v>1229</v>
      </c>
      <c r="L24" s="394" t="s">
        <v>1229</v>
      </c>
      <c r="M24" s="394" t="s">
        <v>1229</v>
      </c>
      <c r="N24" s="394" t="s">
        <v>1229</v>
      </c>
    </row>
    <row r="25" spans="1:14" ht="38.25">
      <c r="A25" s="404"/>
      <c r="B25" s="406"/>
      <c r="C25" s="436"/>
      <c r="D25" s="1040" t="s">
        <v>605</v>
      </c>
      <c r="E25" s="394" t="s">
        <v>1229</v>
      </c>
      <c r="F25" s="394" t="s">
        <v>1229</v>
      </c>
      <c r="G25" s="394" t="s">
        <v>1229</v>
      </c>
      <c r="H25" s="394" t="s">
        <v>1229</v>
      </c>
      <c r="I25" s="394" t="s">
        <v>1229</v>
      </c>
      <c r="J25" s="394" t="s">
        <v>1229</v>
      </c>
      <c r="K25" s="394" t="s">
        <v>1229</v>
      </c>
      <c r="L25" s="394" t="s">
        <v>1229</v>
      </c>
      <c r="M25" s="394" t="s">
        <v>1229</v>
      </c>
      <c r="N25" s="394" t="s">
        <v>1229</v>
      </c>
    </row>
    <row r="26" spans="1:14">
      <c r="A26" s="404"/>
      <c r="B26" s="476" t="s">
        <v>1145</v>
      </c>
      <c r="C26" s="848" t="s">
        <v>1168</v>
      </c>
      <c r="D26" s="805"/>
      <c r="E26" s="1124">
        <f t="shared" ref="E26:L26" si="4" xml:space="preserve"> IF(SUM(E27:E28)=0,"-",SUM(E27:E28))</f>
        <v>443</v>
      </c>
      <c r="F26" s="1124">
        <f t="shared" si="4"/>
        <v>459</v>
      </c>
      <c r="G26" s="1124">
        <f t="shared" si="4"/>
        <v>412</v>
      </c>
      <c r="H26" s="287">
        <f t="shared" si="4"/>
        <v>421</v>
      </c>
      <c r="I26" s="287">
        <f t="shared" si="4"/>
        <v>338</v>
      </c>
      <c r="J26" s="287">
        <f t="shared" si="4"/>
        <v>411</v>
      </c>
      <c r="K26" s="287">
        <f t="shared" si="4"/>
        <v>292</v>
      </c>
      <c r="L26" s="287">
        <f t="shared" si="4"/>
        <v>443</v>
      </c>
      <c r="M26" s="287">
        <v>323</v>
      </c>
      <c r="N26" s="287">
        <v>512</v>
      </c>
    </row>
    <row r="27" spans="1:14">
      <c r="A27" s="404"/>
      <c r="B27" s="406"/>
      <c r="C27" s="406"/>
      <c r="D27" s="158" t="s">
        <v>1169</v>
      </c>
      <c r="E27" s="394">
        <v>443</v>
      </c>
      <c r="F27" s="394">
        <v>459</v>
      </c>
      <c r="G27" s="394">
        <v>412</v>
      </c>
      <c r="H27" s="394">
        <v>421</v>
      </c>
      <c r="I27" s="394">
        <v>338</v>
      </c>
      <c r="J27" s="394">
        <v>411</v>
      </c>
      <c r="K27" s="394">
        <v>292</v>
      </c>
      <c r="L27" s="394">
        <v>443</v>
      </c>
      <c r="M27" s="394">
        <v>323</v>
      </c>
      <c r="N27" s="394">
        <v>512</v>
      </c>
    </row>
    <row r="28" spans="1:14">
      <c r="A28" s="404"/>
      <c r="B28" s="406"/>
      <c r="C28" s="406"/>
      <c r="D28" s="158" t="s">
        <v>1170</v>
      </c>
      <c r="E28" s="394" t="s">
        <v>1229</v>
      </c>
      <c r="F28" s="394" t="s">
        <v>1229</v>
      </c>
      <c r="G28" s="394" t="s">
        <v>1229</v>
      </c>
      <c r="H28" s="394" t="s">
        <v>1229</v>
      </c>
      <c r="I28" s="394" t="s">
        <v>1229</v>
      </c>
      <c r="J28" s="394" t="s">
        <v>1229</v>
      </c>
      <c r="K28" s="394" t="s">
        <v>1229</v>
      </c>
      <c r="L28" s="394" t="s">
        <v>1229</v>
      </c>
      <c r="M28" s="394" t="s">
        <v>1229</v>
      </c>
      <c r="N28" s="394" t="s">
        <v>1229</v>
      </c>
    </row>
    <row r="29" spans="1:14">
      <c r="A29" s="404"/>
      <c r="B29" s="478" t="s">
        <v>1146</v>
      </c>
      <c r="C29" s="283" t="s">
        <v>82</v>
      </c>
      <c r="D29" s="806"/>
      <c r="E29" s="802">
        <f>SUM(E30:E34)</f>
        <v>163</v>
      </c>
      <c r="F29" s="479">
        <f>SUM(F30:F34)</f>
        <v>112</v>
      </c>
      <c r="G29" s="802">
        <f>SUM(G30:G34)</f>
        <v>176</v>
      </c>
      <c r="H29" s="479">
        <f>SUM(H30:H34)</f>
        <v>145</v>
      </c>
      <c r="I29" s="802">
        <f t="shared" ref="I29:N29" si="5">SUM(I30:I34)</f>
        <v>155</v>
      </c>
      <c r="J29" s="479">
        <f t="shared" si="5"/>
        <v>162</v>
      </c>
      <c r="K29" s="802">
        <f t="shared" si="5"/>
        <v>127</v>
      </c>
      <c r="L29" s="479">
        <f t="shared" si="5"/>
        <v>159</v>
      </c>
      <c r="M29" s="802">
        <f t="shared" si="5"/>
        <v>152</v>
      </c>
      <c r="N29" s="479">
        <f t="shared" si="5"/>
        <v>167</v>
      </c>
    </row>
    <row r="30" spans="1:14">
      <c r="A30" s="404"/>
      <c r="B30" s="406"/>
      <c r="C30" s="406"/>
      <c r="D30" s="158" t="s">
        <v>1171</v>
      </c>
      <c r="E30" s="374">
        <v>163</v>
      </c>
      <c r="F30" s="392">
        <v>112</v>
      </c>
      <c r="G30" s="374">
        <v>176</v>
      </c>
      <c r="H30" s="392">
        <v>145</v>
      </c>
      <c r="I30" s="374">
        <v>155</v>
      </c>
      <c r="J30" s="392">
        <v>162</v>
      </c>
      <c r="K30" s="374">
        <v>127</v>
      </c>
      <c r="L30" s="392">
        <v>159</v>
      </c>
      <c r="M30" s="374">
        <v>152</v>
      </c>
      <c r="N30" s="392">
        <v>167</v>
      </c>
    </row>
    <row r="31" spans="1:14">
      <c r="A31" s="404"/>
      <c r="B31" s="406"/>
      <c r="C31" s="406"/>
      <c r="D31" s="158" t="s">
        <v>1172</v>
      </c>
      <c r="E31" s="394" t="s">
        <v>1229</v>
      </c>
      <c r="F31" s="394" t="s">
        <v>1229</v>
      </c>
      <c r="G31" s="394" t="s">
        <v>1229</v>
      </c>
      <c r="H31" s="394" t="s">
        <v>1229</v>
      </c>
      <c r="I31" s="394" t="s">
        <v>1229</v>
      </c>
      <c r="J31" s="394" t="s">
        <v>1229</v>
      </c>
      <c r="K31" s="394" t="s">
        <v>1229</v>
      </c>
      <c r="L31" s="394" t="s">
        <v>1229</v>
      </c>
      <c r="M31" s="394" t="s">
        <v>1229</v>
      </c>
      <c r="N31" s="394" t="s">
        <v>1229</v>
      </c>
    </row>
    <row r="32" spans="1:14">
      <c r="A32" s="404"/>
      <c r="B32" s="406"/>
      <c r="C32" s="406"/>
      <c r="D32" s="158" t="s">
        <v>1175</v>
      </c>
      <c r="E32" s="394" t="s">
        <v>1229</v>
      </c>
      <c r="F32" s="394" t="s">
        <v>1229</v>
      </c>
      <c r="G32" s="394" t="s">
        <v>1229</v>
      </c>
      <c r="H32" s="394" t="s">
        <v>1229</v>
      </c>
      <c r="I32" s="394" t="s">
        <v>1229</v>
      </c>
      <c r="J32" s="394" t="s">
        <v>1229</v>
      </c>
      <c r="K32" s="394" t="s">
        <v>1229</v>
      </c>
      <c r="L32" s="394" t="s">
        <v>1229</v>
      </c>
      <c r="M32" s="394" t="s">
        <v>1229</v>
      </c>
      <c r="N32" s="394" t="s">
        <v>1229</v>
      </c>
    </row>
    <row r="33" spans="1:14">
      <c r="A33" s="404"/>
      <c r="B33" s="406"/>
      <c r="C33" s="406"/>
      <c r="D33" s="158" t="s">
        <v>1173</v>
      </c>
      <c r="E33" s="394" t="s">
        <v>1229</v>
      </c>
      <c r="F33" s="394" t="s">
        <v>1229</v>
      </c>
      <c r="G33" s="394" t="s">
        <v>1229</v>
      </c>
      <c r="H33" s="394" t="s">
        <v>1229</v>
      </c>
      <c r="I33" s="394" t="s">
        <v>1229</v>
      </c>
      <c r="J33" s="394" t="s">
        <v>1229</v>
      </c>
      <c r="K33" s="394" t="s">
        <v>1229</v>
      </c>
      <c r="L33" s="394" t="s">
        <v>1229</v>
      </c>
      <c r="M33" s="394" t="s">
        <v>1229</v>
      </c>
      <c r="N33" s="394" t="s">
        <v>1229</v>
      </c>
    </row>
    <row r="34" spans="1:14" ht="12.75" customHeight="1">
      <c r="A34" s="404"/>
      <c r="B34" s="406"/>
      <c r="C34" s="406"/>
      <c r="D34" s="1039" t="s">
        <v>1174</v>
      </c>
      <c r="E34" s="394" t="s">
        <v>1229</v>
      </c>
      <c r="F34" s="394" t="s">
        <v>1229</v>
      </c>
      <c r="G34" s="394" t="s">
        <v>1229</v>
      </c>
      <c r="H34" s="394" t="s">
        <v>1229</v>
      </c>
      <c r="I34" s="394" t="s">
        <v>1229</v>
      </c>
      <c r="J34" s="394" t="s">
        <v>1229</v>
      </c>
      <c r="K34" s="394" t="s">
        <v>1229</v>
      </c>
      <c r="L34" s="394" t="s">
        <v>1229</v>
      </c>
      <c r="M34" s="394" t="s">
        <v>1229</v>
      </c>
      <c r="N34" s="394" t="s">
        <v>1229</v>
      </c>
    </row>
    <row r="35" spans="1:14">
      <c r="A35" s="771" t="s">
        <v>1377</v>
      </c>
      <c r="B35" s="1943" t="s">
        <v>251</v>
      </c>
      <c r="C35" s="1943"/>
      <c r="D35" s="1944"/>
      <c r="E35" s="394" t="s">
        <v>1229</v>
      </c>
      <c r="F35" s="394" t="s">
        <v>1229</v>
      </c>
      <c r="G35" s="442" t="s">
        <v>1229</v>
      </c>
      <c r="H35" s="442" t="s">
        <v>1229</v>
      </c>
      <c r="I35" s="394" t="s">
        <v>1229</v>
      </c>
      <c r="J35" s="394" t="s">
        <v>1229</v>
      </c>
      <c r="K35" s="394" t="s">
        <v>1229</v>
      </c>
      <c r="L35" s="394" t="s">
        <v>1229</v>
      </c>
      <c r="M35" s="394" t="s">
        <v>1229</v>
      </c>
      <c r="N35" s="394" t="s">
        <v>1229</v>
      </c>
    </row>
    <row r="36" spans="1:14">
      <c r="A36" s="469"/>
      <c r="B36" s="1712" t="s">
        <v>958</v>
      </c>
      <c r="C36" s="1712"/>
      <c r="D36" s="1942"/>
      <c r="E36" s="482">
        <f t="shared" ref="E36:N36" si="6">SUM(E8,E18,E35)</f>
        <v>5599</v>
      </c>
      <c r="F36" s="453">
        <f t="shared" si="6"/>
        <v>2391</v>
      </c>
      <c r="G36" s="453">
        <f t="shared" si="6"/>
        <v>5846</v>
      </c>
      <c r="H36" s="453">
        <f t="shared" si="6"/>
        <v>2444</v>
      </c>
      <c r="I36" s="453">
        <f t="shared" si="6"/>
        <v>5683</v>
      </c>
      <c r="J36" s="453">
        <f t="shared" si="6"/>
        <v>2405</v>
      </c>
      <c r="K36" s="453">
        <f t="shared" si="6"/>
        <v>7417</v>
      </c>
      <c r="L36" s="453">
        <f t="shared" si="6"/>
        <v>2918</v>
      </c>
      <c r="M36" s="453">
        <f t="shared" si="6"/>
        <v>8744</v>
      </c>
      <c r="N36" s="453">
        <f t="shared" si="6"/>
        <v>3514</v>
      </c>
    </row>
    <row r="37" spans="1:14">
      <c r="A37" s="50"/>
      <c r="B37" s="50"/>
      <c r="C37" s="50"/>
      <c r="D37" s="168"/>
      <c r="E37" s="168"/>
      <c r="F37" s="168"/>
      <c r="G37" s="50"/>
      <c r="H37" s="50"/>
      <c r="I37" s="50"/>
      <c r="J37" s="101"/>
      <c r="L37" s="619"/>
      <c r="M37" s="619"/>
      <c r="N37" s="1188" t="s">
        <v>459</v>
      </c>
    </row>
  </sheetData>
  <mergeCells count="15">
    <mergeCell ref="B36:D36"/>
    <mergeCell ref="A1:N1"/>
    <mergeCell ref="A2:N2"/>
    <mergeCell ref="A7:D7"/>
    <mergeCell ref="K5:L5"/>
    <mergeCell ref="B8:D8"/>
    <mergeCell ref="C17:D17"/>
    <mergeCell ref="B18:D18"/>
    <mergeCell ref="B35:D35"/>
    <mergeCell ref="A4:D6"/>
    <mergeCell ref="E4:N4"/>
    <mergeCell ref="M5:N5"/>
    <mergeCell ref="E5:F5"/>
    <mergeCell ref="G5:H5"/>
    <mergeCell ref="I5:J5"/>
  </mergeCells>
  <phoneticPr fontId="0" type="noConversion"/>
  <conditionalFormatting sqref="E5 G5 I5:N5">
    <cfRule type="cellIs" dxfId="22" priority="1" stopIfTrue="1" operator="equal">
      <formula>".."</formula>
    </cfRule>
  </conditionalFormatting>
  <printOptions horizontalCentered="1"/>
  <pageMargins left="0.1" right="0.1" top="0.37" bottom="0.1" header="0.5" footer="0.1"/>
  <pageSetup paperSize="9" orientation="landscape" blackAndWhite="1" r:id="rId1"/>
  <headerFooter alignWithMargins="0"/>
</worksheet>
</file>

<file path=xl/worksheets/sheet33.xml><?xml version="1.0" encoding="utf-8"?>
<worksheet xmlns="http://schemas.openxmlformats.org/spreadsheetml/2006/main" xmlns:r="http://schemas.openxmlformats.org/officeDocument/2006/relationships">
  <sheetPr codeName="Sheet31"/>
  <dimension ref="A1:N30"/>
  <sheetViews>
    <sheetView topLeftCell="A10" workbookViewId="0">
      <selection activeCell="J11" sqref="J11"/>
    </sheetView>
  </sheetViews>
  <sheetFormatPr defaultRowHeight="12.75"/>
  <cols>
    <col min="1" max="1" width="3.140625" customWidth="1"/>
    <col min="4" max="4" width="20.5703125" customWidth="1"/>
    <col min="14" max="14" width="9.85546875" customWidth="1"/>
  </cols>
  <sheetData>
    <row r="1" spans="1:14" ht="12.75" customHeight="1">
      <c r="A1" s="1928" t="s">
        <v>356</v>
      </c>
      <c r="B1" s="1928"/>
      <c r="C1" s="1928"/>
      <c r="D1" s="1928"/>
      <c r="E1" s="1928"/>
      <c r="F1" s="1928"/>
      <c r="G1" s="1928"/>
      <c r="H1" s="1928"/>
      <c r="I1" s="1928"/>
      <c r="J1" s="1928"/>
      <c r="K1" s="1928"/>
      <c r="L1" s="1928"/>
      <c r="M1" s="1928"/>
      <c r="N1" s="1928"/>
    </row>
    <row r="2" spans="1:14" ht="30.75" customHeight="1">
      <c r="A2" s="1796" t="str">
        <f>CONCATENATE("Students by sex in different type of Special and Non-formal Educational  Institutions
 in the district of ",District!A1)</f>
        <v>Students by sex in different type of Special and Non-formal Educational  Institutions
 in the district of South 24-Parganas</v>
      </c>
      <c r="B2" s="1796"/>
      <c r="C2" s="1796"/>
      <c r="D2" s="1796"/>
      <c r="E2" s="1796"/>
      <c r="F2" s="1796"/>
      <c r="G2" s="1796"/>
      <c r="H2" s="1796"/>
      <c r="I2" s="1796"/>
      <c r="J2" s="1796"/>
      <c r="K2" s="1796"/>
      <c r="L2" s="1796"/>
      <c r="M2" s="1796"/>
      <c r="N2" s="1796"/>
    </row>
    <row r="3" spans="1:14" ht="13.5" customHeight="1">
      <c r="M3" s="15"/>
      <c r="N3" s="113" t="s">
        <v>977</v>
      </c>
    </row>
    <row r="4" spans="1:14" ht="14.25" customHeight="1">
      <c r="A4" s="1723" t="s">
        <v>370</v>
      </c>
      <c r="B4" s="1890"/>
      <c r="C4" s="1890"/>
      <c r="D4" s="1724"/>
      <c r="E4" s="1941" t="s">
        <v>671</v>
      </c>
      <c r="F4" s="1926"/>
      <c r="G4" s="1926"/>
      <c r="H4" s="1926"/>
      <c r="I4" s="1926"/>
      <c r="J4" s="1926"/>
      <c r="K4" s="1926"/>
      <c r="L4" s="1926"/>
      <c r="M4" s="1926"/>
      <c r="N4" s="1927"/>
    </row>
    <row r="5" spans="1:14" ht="14.25" customHeight="1">
      <c r="A5" s="1762"/>
      <c r="B5" s="1740"/>
      <c r="C5" s="1740"/>
      <c r="D5" s="1947"/>
      <c r="E5" s="1732" t="s">
        <v>1317</v>
      </c>
      <c r="F5" s="1714"/>
      <c r="G5" s="1732" t="s">
        <v>221</v>
      </c>
      <c r="H5" s="1714"/>
      <c r="I5" s="1713" t="s">
        <v>1301</v>
      </c>
      <c r="J5" s="1714"/>
      <c r="K5" s="1713" t="s">
        <v>621</v>
      </c>
      <c r="L5" s="1714"/>
      <c r="M5" s="1713" t="s">
        <v>206</v>
      </c>
      <c r="N5" s="1714"/>
    </row>
    <row r="6" spans="1:14" ht="14.25" customHeight="1">
      <c r="A6" s="1725"/>
      <c r="B6" s="1741"/>
      <c r="C6" s="1741"/>
      <c r="D6" s="1726"/>
      <c r="E6" s="143" t="s">
        <v>1003</v>
      </c>
      <c r="F6" s="142" t="s">
        <v>1004</v>
      </c>
      <c r="G6" s="143" t="s">
        <v>1003</v>
      </c>
      <c r="H6" s="142" t="s">
        <v>1004</v>
      </c>
      <c r="I6" s="143" t="s">
        <v>1003</v>
      </c>
      <c r="J6" s="142" t="s">
        <v>1004</v>
      </c>
      <c r="K6" s="143" t="s">
        <v>1003</v>
      </c>
      <c r="L6" s="142" t="s">
        <v>1004</v>
      </c>
      <c r="M6" s="143" t="s">
        <v>1003</v>
      </c>
      <c r="N6" s="142" t="s">
        <v>1004</v>
      </c>
    </row>
    <row r="7" spans="1:14" ht="14.25" customHeight="1">
      <c r="A7" s="1716" t="s">
        <v>928</v>
      </c>
      <c r="B7" s="1717"/>
      <c r="C7" s="1717"/>
      <c r="D7" s="1797"/>
      <c r="E7" s="119" t="s">
        <v>929</v>
      </c>
      <c r="F7" s="199" t="s">
        <v>930</v>
      </c>
      <c r="G7" s="119" t="s">
        <v>931</v>
      </c>
      <c r="H7" s="199" t="s">
        <v>932</v>
      </c>
      <c r="I7" s="119" t="s">
        <v>933</v>
      </c>
      <c r="J7" s="199" t="s">
        <v>934</v>
      </c>
      <c r="K7" s="119" t="s">
        <v>959</v>
      </c>
      <c r="L7" s="199" t="s">
        <v>960</v>
      </c>
      <c r="M7" s="119" t="s">
        <v>961</v>
      </c>
      <c r="N7" s="199" t="s">
        <v>962</v>
      </c>
    </row>
    <row r="8" spans="1:14" ht="18" customHeight="1">
      <c r="A8" s="455">
        <v>1</v>
      </c>
      <c r="B8" s="1929" t="s">
        <v>1176</v>
      </c>
      <c r="C8" s="1929"/>
      <c r="D8" s="1930"/>
      <c r="E8" s="372">
        <v>67357</v>
      </c>
      <c r="F8" s="393">
        <v>69017</v>
      </c>
      <c r="G8" s="372">
        <v>66993</v>
      </c>
      <c r="H8" s="393">
        <v>68350</v>
      </c>
      <c r="I8" s="372">
        <v>63762</v>
      </c>
      <c r="J8" s="393">
        <v>66130</v>
      </c>
      <c r="K8" s="372">
        <v>61338</v>
      </c>
      <c r="L8" s="393">
        <v>62354</v>
      </c>
      <c r="M8" s="372">
        <v>57355</v>
      </c>
      <c r="N8" s="393">
        <v>57896</v>
      </c>
    </row>
    <row r="9" spans="1:14" ht="18" customHeight="1">
      <c r="A9" s="226">
        <v>2</v>
      </c>
      <c r="B9" s="1931" t="s">
        <v>361</v>
      </c>
      <c r="C9" s="1915"/>
      <c r="D9" s="1916"/>
      <c r="E9" s="393">
        <v>6931</v>
      </c>
      <c r="F9" s="393">
        <v>9246</v>
      </c>
      <c r="G9" s="393">
        <v>7585</v>
      </c>
      <c r="H9" s="393">
        <v>10166</v>
      </c>
      <c r="I9" s="393">
        <v>7725</v>
      </c>
      <c r="J9" s="393">
        <v>10444</v>
      </c>
      <c r="K9" s="393">
        <v>7897</v>
      </c>
      <c r="L9" s="393">
        <v>10823</v>
      </c>
      <c r="M9" s="393">
        <v>7904</v>
      </c>
      <c r="N9" s="393">
        <v>10766</v>
      </c>
    </row>
    <row r="10" spans="1:14" ht="18" customHeight="1">
      <c r="A10" s="226">
        <v>3</v>
      </c>
      <c r="B10" s="1915" t="s">
        <v>1177</v>
      </c>
      <c r="C10" s="1915"/>
      <c r="D10" s="1916"/>
      <c r="E10" s="372">
        <v>45</v>
      </c>
      <c r="F10" s="393" t="s">
        <v>1229</v>
      </c>
      <c r="G10" s="372">
        <v>58</v>
      </c>
      <c r="H10" s="393" t="s">
        <v>1229</v>
      </c>
      <c r="I10" s="372">
        <v>58</v>
      </c>
      <c r="J10" s="393" t="s">
        <v>1229</v>
      </c>
      <c r="K10" s="372">
        <v>34</v>
      </c>
      <c r="L10" s="393" t="s">
        <v>1229</v>
      </c>
      <c r="M10" s="372">
        <v>38</v>
      </c>
      <c r="N10" s="393" t="s">
        <v>1229</v>
      </c>
    </row>
    <row r="11" spans="1:14" ht="18" customHeight="1">
      <c r="A11" s="226">
        <v>4</v>
      </c>
      <c r="B11" s="1915" t="s">
        <v>368</v>
      </c>
      <c r="C11" s="1915"/>
      <c r="D11" s="1916"/>
      <c r="E11" s="393">
        <v>4207</v>
      </c>
      <c r="F11" s="963">
        <v>3009</v>
      </c>
      <c r="G11" s="393">
        <v>4046</v>
      </c>
      <c r="H11" s="963">
        <v>2561</v>
      </c>
      <c r="I11" s="393">
        <v>4159</v>
      </c>
      <c r="J11" s="963">
        <v>2504</v>
      </c>
      <c r="K11" s="393">
        <v>3559</v>
      </c>
      <c r="L11" s="963">
        <v>1892</v>
      </c>
      <c r="M11" s="393">
        <v>2070</v>
      </c>
      <c r="N11" s="963">
        <v>3879</v>
      </c>
    </row>
    <row r="12" spans="1:14" ht="18" customHeight="1">
      <c r="A12" s="226">
        <v>5</v>
      </c>
      <c r="B12" s="1915" t="s">
        <v>1179</v>
      </c>
      <c r="C12" s="1915"/>
      <c r="D12" s="1916"/>
      <c r="E12" s="372">
        <v>223</v>
      </c>
      <c r="F12" s="393">
        <v>110</v>
      </c>
      <c r="G12" s="372">
        <v>229</v>
      </c>
      <c r="H12" s="393">
        <v>111</v>
      </c>
      <c r="I12" s="372">
        <v>247</v>
      </c>
      <c r="J12" s="393">
        <v>131</v>
      </c>
      <c r="K12" s="372">
        <v>217</v>
      </c>
      <c r="L12" s="393">
        <v>114</v>
      </c>
      <c r="M12" s="372">
        <v>195</v>
      </c>
      <c r="N12" s="393">
        <v>93</v>
      </c>
    </row>
    <row r="13" spans="1:14" ht="18" customHeight="1">
      <c r="A13" s="226">
        <v>6</v>
      </c>
      <c r="B13" s="1915" t="s">
        <v>1181</v>
      </c>
      <c r="C13" s="1915"/>
      <c r="D13" s="1916"/>
      <c r="E13" s="372" t="s">
        <v>1229</v>
      </c>
      <c r="F13" s="393" t="s">
        <v>1229</v>
      </c>
      <c r="G13" s="372" t="s">
        <v>1229</v>
      </c>
      <c r="H13" s="393" t="s">
        <v>1229</v>
      </c>
      <c r="I13" s="372" t="s">
        <v>1229</v>
      </c>
      <c r="J13" s="393" t="s">
        <v>1229</v>
      </c>
      <c r="K13" s="372" t="s">
        <v>1229</v>
      </c>
      <c r="L13" s="393" t="s">
        <v>1229</v>
      </c>
      <c r="M13" s="372" t="s">
        <v>1229</v>
      </c>
      <c r="N13" s="393" t="s">
        <v>1229</v>
      </c>
    </row>
    <row r="14" spans="1:14" ht="26.25" customHeight="1">
      <c r="A14" s="226">
        <v>7</v>
      </c>
      <c r="B14" s="1919" t="s">
        <v>369</v>
      </c>
      <c r="C14" s="1919"/>
      <c r="D14" s="1920"/>
      <c r="E14" s="372">
        <v>422</v>
      </c>
      <c r="F14" s="393">
        <v>260</v>
      </c>
      <c r="G14" s="372">
        <v>408</v>
      </c>
      <c r="H14" s="393">
        <v>243</v>
      </c>
      <c r="I14" s="372">
        <v>465</v>
      </c>
      <c r="J14" s="393">
        <v>246</v>
      </c>
      <c r="K14" s="372">
        <v>470</v>
      </c>
      <c r="L14" s="393">
        <v>262</v>
      </c>
      <c r="M14" s="372">
        <v>465</v>
      </c>
      <c r="N14" s="393">
        <v>244</v>
      </c>
    </row>
    <row r="15" spans="1:14" ht="18" customHeight="1">
      <c r="A15" s="226">
        <v>8</v>
      </c>
      <c r="B15" s="1915" t="s">
        <v>1182</v>
      </c>
      <c r="C15" s="1915"/>
      <c r="D15" s="1916"/>
      <c r="E15" s="372">
        <v>2965</v>
      </c>
      <c r="F15" s="393">
        <v>2536</v>
      </c>
      <c r="G15" s="372">
        <v>2942</v>
      </c>
      <c r="H15" s="393">
        <v>2247</v>
      </c>
      <c r="I15" s="372">
        <v>359</v>
      </c>
      <c r="J15" s="393">
        <v>201</v>
      </c>
      <c r="K15" s="372">
        <v>290</v>
      </c>
      <c r="L15" s="393">
        <v>162</v>
      </c>
      <c r="M15" s="372">
        <v>205</v>
      </c>
      <c r="N15" s="393">
        <v>173</v>
      </c>
    </row>
    <row r="16" spans="1:14" ht="18" customHeight="1">
      <c r="A16" s="226">
        <v>9</v>
      </c>
      <c r="B16" s="1915" t="s">
        <v>1649</v>
      </c>
      <c r="C16" s="1915"/>
      <c r="D16" s="1916"/>
      <c r="E16" s="372">
        <v>175737</v>
      </c>
      <c r="F16" s="393">
        <v>173010</v>
      </c>
      <c r="G16" s="372">
        <v>183921</v>
      </c>
      <c r="H16" s="393">
        <v>180977</v>
      </c>
      <c r="I16" s="372">
        <v>186642</v>
      </c>
      <c r="J16" s="393">
        <v>183196</v>
      </c>
      <c r="K16" s="372">
        <v>184397</v>
      </c>
      <c r="L16" s="393">
        <v>182551</v>
      </c>
      <c r="M16" s="372">
        <v>190149</v>
      </c>
      <c r="N16" s="393">
        <v>186005</v>
      </c>
    </row>
    <row r="17" spans="1:14" ht="18" customHeight="1">
      <c r="A17" s="226">
        <v>10</v>
      </c>
      <c r="B17" s="1915" t="s">
        <v>555</v>
      </c>
      <c r="C17" s="1915"/>
      <c r="D17" s="1916"/>
      <c r="E17" s="372">
        <v>437</v>
      </c>
      <c r="F17" s="393">
        <v>89</v>
      </c>
      <c r="G17" s="372">
        <v>397</v>
      </c>
      <c r="H17" s="393">
        <v>92</v>
      </c>
      <c r="I17" s="372">
        <v>518</v>
      </c>
      <c r="J17" s="393">
        <v>241</v>
      </c>
      <c r="K17" s="372">
        <v>248</v>
      </c>
      <c r="L17" s="393">
        <v>829</v>
      </c>
      <c r="M17" s="372">
        <v>293</v>
      </c>
      <c r="N17" s="393">
        <v>817</v>
      </c>
    </row>
    <row r="18" spans="1:14" ht="50.25" customHeight="1">
      <c r="A18" s="242">
        <v>11</v>
      </c>
      <c r="B18" s="1919" t="s">
        <v>554</v>
      </c>
      <c r="C18" s="1919"/>
      <c r="D18" s="1920"/>
      <c r="E18" s="372" t="s">
        <v>857</v>
      </c>
      <c r="F18" s="878" t="s">
        <v>857</v>
      </c>
      <c r="G18" s="372" t="s">
        <v>857</v>
      </c>
      <c r="H18" s="878" t="s">
        <v>857</v>
      </c>
      <c r="I18" s="372" t="s">
        <v>857</v>
      </c>
      <c r="J18" s="878" t="s">
        <v>857</v>
      </c>
      <c r="K18" s="372" t="s">
        <v>857</v>
      </c>
      <c r="L18" s="878" t="s">
        <v>857</v>
      </c>
      <c r="M18" s="1633" t="s">
        <v>1229</v>
      </c>
      <c r="N18" s="879" t="s">
        <v>1229</v>
      </c>
    </row>
    <row r="19" spans="1:14" ht="18" customHeight="1">
      <c r="A19" s="226">
        <v>12</v>
      </c>
      <c r="B19" s="1915" t="s">
        <v>1365</v>
      </c>
      <c r="C19" s="1915"/>
      <c r="D19" s="1916"/>
      <c r="E19" s="380" t="s">
        <v>1229</v>
      </c>
      <c r="F19" s="441" t="s">
        <v>1229</v>
      </c>
      <c r="G19" s="380" t="s">
        <v>1229</v>
      </c>
      <c r="H19" s="441" t="s">
        <v>1229</v>
      </c>
      <c r="I19" s="380" t="s">
        <v>1229</v>
      </c>
      <c r="J19" s="441" t="s">
        <v>1229</v>
      </c>
      <c r="K19" s="380" t="s">
        <v>1229</v>
      </c>
      <c r="L19" s="441" t="s">
        <v>1229</v>
      </c>
      <c r="M19" s="1635" t="s">
        <v>1229</v>
      </c>
      <c r="N19" s="1634" t="s">
        <v>1229</v>
      </c>
    </row>
    <row r="20" spans="1:14" ht="15.95" customHeight="1">
      <c r="A20" s="469"/>
      <c r="B20" s="1712" t="s">
        <v>958</v>
      </c>
      <c r="C20" s="1712"/>
      <c r="D20" s="1942"/>
      <c r="E20" s="628">
        <f t="shared" ref="E20:N20" si="0">SUM(E8:E19)</f>
        <v>258324</v>
      </c>
      <c r="F20" s="627">
        <f t="shared" si="0"/>
        <v>257277</v>
      </c>
      <c r="G20" s="628">
        <f t="shared" si="0"/>
        <v>266579</v>
      </c>
      <c r="H20" s="627">
        <f t="shared" si="0"/>
        <v>264747</v>
      </c>
      <c r="I20" s="628">
        <f t="shared" si="0"/>
        <v>263935</v>
      </c>
      <c r="J20" s="627">
        <f t="shared" si="0"/>
        <v>263093</v>
      </c>
      <c r="K20" s="628">
        <f t="shared" si="0"/>
        <v>258450</v>
      </c>
      <c r="L20" s="627">
        <f t="shared" si="0"/>
        <v>258987</v>
      </c>
      <c r="M20" s="628">
        <f t="shared" si="0"/>
        <v>258674</v>
      </c>
      <c r="N20" s="627">
        <f t="shared" si="0"/>
        <v>259873</v>
      </c>
    </row>
    <row r="21" spans="1:14">
      <c r="A21" s="50"/>
      <c r="B21" s="50"/>
      <c r="C21" s="50"/>
      <c r="D21" s="50"/>
      <c r="E21" s="50"/>
      <c r="F21" s="50"/>
      <c r="J21" s="1163" t="s">
        <v>1446</v>
      </c>
      <c r="K21" s="1017" t="s">
        <v>1183</v>
      </c>
      <c r="L21" s="1017"/>
      <c r="M21" s="102"/>
      <c r="N21" s="102"/>
    </row>
    <row r="22" spans="1:14">
      <c r="A22" s="50"/>
      <c r="B22" s="50"/>
      <c r="C22" s="50"/>
      <c r="D22" s="50"/>
      <c r="E22" s="50"/>
      <c r="F22" s="50"/>
      <c r="J22" s="1017"/>
      <c r="K22" s="1017" t="s">
        <v>1184</v>
      </c>
      <c r="L22" s="1017"/>
      <c r="M22" s="102"/>
      <c r="N22" s="102"/>
    </row>
    <row r="23" spans="1:14">
      <c r="A23" s="50"/>
      <c r="B23" s="50"/>
      <c r="C23" s="50"/>
      <c r="D23" s="50"/>
      <c r="E23" s="50"/>
      <c r="F23" s="50"/>
      <c r="J23" s="1017"/>
      <c r="K23" s="1017" t="s">
        <v>371</v>
      </c>
      <c r="L23" s="1017"/>
      <c r="M23" s="102"/>
      <c r="N23" s="102"/>
    </row>
    <row r="24" spans="1:14">
      <c r="A24" s="50"/>
      <c r="B24" s="50"/>
      <c r="C24" s="50"/>
      <c r="D24" s="50"/>
      <c r="E24" s="50"/>
      <c r="F24" s="50"/>
      <c r="J24" s="1017"/>
      <c r="K24" s="1017" t="s">
        <v>1185</v>
      </c>
      <c r="L24" s="1017"/>
      <c r="M24" s="102"/>
      <c r="N24" s="102"/>
    </row>
    <row r="25" spans="1:14">
      <c r="A25" s="50"/>
      <c r="B25" s="50"/>
      <c r="C25" s="50"/>
      <c r="D25" s="50"/>
      <c r="E25" s="50"/>
      <c r="F25" s="50"/>
      <c r="J25" s="1017"/>
      <c r="K25" s="1017" t="s">
        <v>1187</v>
      </c>
      <c r="L25" s="1017"/>
      <c r="M25" s="102"/>
      <c r="N25" s="102"/>
    </row>
    <row r="26" spans="1:14">
      <c r="A26" s="50"/>
      <c r="B26" s="50"/>
      <c r="C26" s="50"/>
      <c r="D26" s="50"/>
      <c r="E26" s="50"/>
      <c r="F26" s="50"/>
      <c r="J26" s="1017"/>
      <c r="K26" s="1017" t="s">
        <v>1188</v>
      </c>
      <c r="L26" s="1017"/>
      <c r="M26" s="102"/>
      <c r="N26" s="102"/>
    </row>
    <row r="27" spans="1:14">
      <c r="A27" s="50"/>
      <c r="B27" s="50"/>
      <c r="C27" s="50"/>
      <c r="D27" s="50"/>
      <c r="E27" s="50"/>
      <c r="F27" s="50"/>
      <c r="J27" s="1017"/>
      <c r="K27" s="1017" t="s">
        <v>1476</v>
      </c>
      <c r="L27" s="1017"/>
      <c r="M27" s="102"/>
      <c r="N27" s="102"/>
    </row>
    <row r="28" spans="1:14">
      <c r="A28" s="50"/>
      <c r="B28" s="50"/>
      <c r="C28" s="50"/>
      <c r="D28" s="50"/>
      <c r="E28" s="50"/>
      <c r="F28" s="50"/>
      <c r="J28" s="1017"/>
      <c r="K28" s="1017" t="s">
        <v>1189</v>
      </c>
      <c r="L28" s="1017"/>
      <c r="M28" s="102"/>
      <c r="N28" s="102"/>
    </row>
    <row r="29" spans="1:14">
      <c r="A29" s="50"/>
      <c r="B29" s="50"/>
      <c r="C29" s="50"/>
      <c r="D29" s="50"/>
      <c r="E29" s="50"/>
      <c r="F29" s="50"/>
      <c r="J29" s="1017"/>
      <c r="K29" s="1017" t="s">
        <v>869</v>
      </c>
      <c r="L29" s="1017"/>
      <c r="M29" s="102"/>
      <c r="N29" s="102"/>
    </row>
    <row r="30" spans="1:14">
      <c r="A30" s="50"/>
      <c r="B30" s="50"/>
      <c r="C30" s="50"/>
      <c r="D30" s="50"/>
      <c r="E30" s="50"/>
      <c r="F30" s="50"/>
      <c r="G30" s="50"/>
      <c r="H30" s="50"/>
      <c r="I30" s="50"/>
      <c r="J30" s="50"/>
      <c r="K30" s="50"/>
      <c r="L30" s="50"/>
      <c r="M30" s="50"/>
      <c r="N30" s="50"/>
    </row>
  </sheetData>
  <mergeCells count="23">
    <mergeCell ref="B20:D20"/>
    <mergeCell ref="B18:D18"/>
    <mergeCell ref="B19:D19"/>
    <mergeCell ref="A1:N1"/>
    <mergeCell ref="A2:N2"/>
    <mergeCell ref="G5:H5"/>
    <mergeCell ref="M5:N5"/>
    <mergeCell ref="K5:L5"/>
    <mergeCell ref="E5:F5"/>
    <mergeCell ref="I5:J5"/>
    <mergeCell ref="A4:D6"/>
    <mergeCell ref="E4:N4"/>
    <mergeCell ref="A7:D7"/>
    <mergeCell ref="B9:D9"/>
    <mergeCell ref="B17:D17"/>
    <mergeCell ref="B10:D10"/>
    <mergeCell ref="B13:D13"/>
    <mergeCell ref="B14:D14"/>
    <mergeCell ref="B15:D15"/>
    <mergeCell ref="B16:D16"/>
    <mergeCell ref="B8:D8"/>
    <mergeCell ref="B12:D12"/>
    <mergeCell ref="B11:D11"/>
  </mergeCells>
  <phoneticPr fontId="0" type="noConversion"/>
  <conditionalFormatting sqref="A1:D1048576 O1:IV1048576 E1:N4 E6:N65536 E5 G5 I5:N5">
    <cfRule type="cellIs" dxfId="21" priority="1" stopIfTrue="1" operator="equal">
      <formula>".."</formula>
    </cfRule>
  </conditionalFormatting>
  <printOptions horizontalCentered="1"/>
  <pageMargins left="0.1" right="0.1" top="0.72" bottom="0.1" header="0.5" footer="0.1"/>
  <pageSetup paperSize="9" orientation="landscape" blackAndWhite="1" r:id="rId1"/>
  <headerFooter alignWithMargins="0"/>
</worksheet>
</file>

<file path=xl/worksheets/sheet34.xml><?xml version="1.0" encoding="utf-8"?>
<worksheet xmlns="http://schemas.openxmlformats.org/spreadsheetml/2006/main" xmlns:r="http://schemas.openxmlformats.org/officeDocument/2006/relationships">
  <sheetPr codeName="Sheet32"/>
  <dimension ref="A1:V40"/>
  <sheetViews>
    <sheetView topLeftCell="A16" workbookViewId="0">
      <selection activeCell="J11" sqref="J11"/>
    </sheetView>
  </sheetViews>
  <sheetFormatPr defaultRowHeight="12.75"/>
  <cols>
    <col min="1" max="1" width="2.28515625" customWidth="1"/>
    <col min="2" max="2" width="2.85546875" customWidth="1"/>
    <col min="3" max="3" width="1.28515625" customWidth="1"/>
    <col min="4" max="4" width="49.85546875" customWidth="1"/>
    <col min="5" max="9" width="14.85546875" customWidth="1"/>
  </cols>
  <sheetData>
    <row r="1" spans="1:18">
      <c r="A1" s="1948" t="s">
        <v>1775</v>
      </c>
      <c r="B1" s="1948"/>
      <c r="C1" s="1948"/>
      <c r="D1" s="1948"/>
      <c r="E1" s="1948"/>
      <c r="F1" s="1948"/>
      <c r="G1" s="1948"/>
      <c r="H1" s="1948"/>
      <c r="I1" s="1948"/>
      <c r="K1" s="7"/>
      <c r="L1" s="7"/>
      <c r="M1" s="7"/>
      <c r="N1" s="7"/>
      <c r="O1" s="7"/>
      <c r="P1" s="7"/>
      <c r="Q1" s="7"/>
      <c r="R1" s="7"/>
    </row>
    <row r="2" spans="1:18" ht="17.25" customHeight="1">
      <c r="A2" s="1949" t="str">
        <f>CONCATENATE("Teachers in different type of General Educational Institutions in the district of ",District!A1)</f>
        <v>Teachers in different type of General Educational Institutions in the district of South 24-Parganas</v>
      </c>
      <c r="B2" s="1949"/>
      <c r="C2" s="1949"/>
      <c r="D2" s="1949"/>
      <c r="E2" s="1949"/>
      <c r="F2" s="1949"/>
      <c r="G2" s="1949"/>
      <c r="H2" s="1949"/>
      <c r="I2" s="1949"/>
      <c r="K2" s="7"/>
      <c r="L2" s="7"/>
      <c r="M2" s="7"/>
      <c r="N2" s="7"/>
      <c r="O2" s="7"/>
      <c r="P2" s="7"/>
      <c r="Q2" s="7"/>
      <c r="R2" s="7"/>
    </row>
    <row r="3" spans="1:18" ht="12" customHeight="1">
      <c r="B3" s="7"/>
      <c r="C3" s="7"/>
      <c r="D3" s="7"/>
      <c r="E3" s="7"/>
      <c r="F3" s="7"/>
      <c r="G3" s="7"/>
      <c r="H3" s="7"/>
      <c r="I3" s="113" t="s">
        <v>977</v>
      </c>
      <c r="K3" s="7"/>
      <c r="L3" s="7"/>
      <c r="M3" s="7"/>
      <c r="N3" s="7"/>
      <c r="O3" s="7"/>
      <c r="P3" s="7"/>
      <c r="Q3" s="7"/>
      <c r="R3" s="7"/>
    </row>
    <row r="4" spans="1:18" ht="12" customHeight="1">
      <c r="A4" s="1723" t="s">
        <v>370</v>
      </c>
      <c r="B4" s="1890"/>
      <c r="C4" s="1890"/>
      <c r="D4" s="1724"/>
      <c r="E4" s="1941" t="s">
        <v>671</v>
      </c>
      <c r="F4" s="1926"/>
      <c r="G4" s="1926"/>
      <c r="H4" s="1926"/>
      <c r="I4" s="1927"/>
      <c r="K4" s="7"/>
      <c r="L4" s="7"/>
      <c r="M4" s="7"/>
      <c r="N4" s="7"/>
      <c r="O4" s="7"/>
      <c r="P4" s="7"/>
      <c r="Q4" s="7"/>
      <c r="R4" s="7"/>
    </row>
    <row r="5" spans="1:18">
      <c r="A5" s="1725"/>
      <c r="B5" s="1741"/>
      <c r="C5" s="1741"/>
      <c r="D5" s="1726"/>
      <c r="E5" s="665" t="s">
        <v>1317</v>
      </c>
      <c r="F5" s="665" t="s">
        <v>221</v>
      </c>
      <c r="G5" s="665" t="s">
        <v>1301</v>
      </c>
      <c r="H5" s="665" t="s">
        <v>621</v>
      </c>
      <c r="I5" s="665" t="s">
        <v>206</v>
      </c>
      <c r="K5" s="7"/>
      <c r="L5" s="7"/>
      <c r="M5" s="7"/>
      <c r="N5" s="7"/>
      <c r="O5" s="7"/>
      <c r="P5" s="7"/>
      <c r="Q5" s="7"/>
      <c r="R5" s="7"/>
    </row>
    <row r="6" spans="1:18">
      <c r="A6" s="1716" t="s">
        <v>928</v>
      </c>
      <c r="B6" s="1717"/>
      <c r="C6" s="1717"/>
      <c r="D6" s="1797"/>
      <c r="E6" s="199" t="s">
        <v>929</v>
      </c>
      <c r="F6" s="118" t="s">
        <v>930</v>
      </c>
      <c r="G6" s="199" t="s">
        <v>931</v>
      </c>
      <c r="H6" s="199" t="s">
        <v>932</v>
      </c>
      <c r="I6" s="120" t="s">
        <v>933</v>
      </c>
      <c r="K6" s="7"/>
      <c r="L6" s="7"/>
      <c r="M6" s="7"/>
      <c r="N6" s="7"/>
      <c r="O6" s="7"/>
      <c r="P6" s="7"/>
      <c r="Q6" s="7"/>
      <c r="R6" s="7"/>
    </row>
    <row r="7" spans="1:18">
      <c r="A7" s="768" t="s">
        <v>1375</v>
      </c>
      <c r="B7" s="1882" t="s">
        <v>472</v>
      </c>
      <c r="C7" s="1882"/>
      <c r="D7" s="1883"/>
      <c r="E7" s="410">
        <f>SUM(E8,E13,E18,E23)</f>
        <v>23456</v>
      </c>
      <c r="F7" s="346">
        <f>SUM(F8,F13,F18,F23)</f>
        <v>25486</v>
      </c>
      <c r="G7" s="346">
        <f>SUM(G8,G13,G18,G23)</f>
        <v>25344</v>
      </c>
      <c r="H7" s="346">
        <f>SUM(H8,H13,H18,H23)</f>
        <v>25697</v>
      </c>
      <c r="I7" s="346">
        <f>SUM(I8,I13,I18,I23)</f>
        <v>21806</v>
      </c>
      <c r="K7" s="7"/>
      <c r="L7" s="7"/>
      <c r="M7" s="7"/>
      <c r="N7" s="7"/>
      <c r="O7" s="7"/>
      <c r="P7" s="7"/>
      <c r="Q7" s="7"/>
      <c r="R7" s="7"/>
    </row>
    <row r="8" spans="1:18" ht="24.75" customHeight="1">
      <c r="A8" s="404"/>
      <c r="B8" s="1344" t="s">
        <v>1147</v>
      </c>
      <c r="C8" s="1933" t="s">
        <v>212</v>
      </c>
      <c r="D8" s="1937"/>
      <c r="E8" s="965">
        <f>SUM(E9:E12)</f>
        <v>10439</v>
      </c>
      <c r="F8" s="965">
        <f>SUM(F9:F12)</f>
        <v>12179</v>
      </c>
      <c r="G8" s="965">
        <f>SUM(G9:G12)</f>
        <v>11911</v>
      </c>
      <c r="H8" s="965">
        <f>SUM(H9:H12)</f>
        <v>11013</v>
      </c>
      <c r="I8" s="965">
        <f>SUM(I9:I12)</f>
        <v>11702</v>
      </c>
      <c r="K8" s="7"/>
      <c r="L8" s="7"/>
      <c r="M8" s="7"/>
      <c r="N8" s="7"/>
      <c r="O8" s="7"/>
      <c r="P8" s="7"/>
      <c r="Q8" s="7"/>
      <c r="R8" s="7"/>
    </row>
    <row r="9" spans="1:18">
      <c r="A9" s="404"/>
      <c r="B9" s="406"/>
      <c r="C9" s="474"/>
      <c r="D9" s="483" t="s">
        <v>1141</v>
      </c>
      <c r="E9" s="394">
        <v>10278</v>
      </c>
      <c r="F9" s="394">
        <v>12007</v>
      </c>
      <c r="G9" s="394">
        <v>11723</v>
      </c>
      <c r="H9" s="394">
        <v>10818</v>
      </c>
      <c r="I9" s="394">
        <v>11543</v>
      </c>
      <c r="K9" s="7"/>
      <c r="L9" s="7"/>
      <c r="M9" s="7"/>
      <c r="N9" s="7"/>
      <c r="O9" s="7"/>
      <c r="P9" s="7"/>
      <c r="Q9" s="7"/>
      <c r="R9" s="7"/>
    </row>
    <row r="10" spans="1:18">
      <c r="A10" s="404"/>
      <c r="B10" s="406"/>
      <c r="C10" s="474"/>
      <c r="D10" s="483" t="s">
        <v>1142</v>
      </c>
      <c r="E10" s="394" t="s">
        <v>1229</v>
      </c>
      <c r="F10" s="394" t="s">
        <v>1229</v>
      </c>
      <c r="G10" s="394" t="s">
        <v>1229</v>
      </c>
      <c r="H10" s="394" t="s">
        <v>1229</v>
      </c>
      <c r="I10" s="394" t="s">
        <v>1229</v>
      </c>
      <c r="K10" s="7"/>
      <c r="L10" s="7"/>
      <c r="M10" s="7"/>
      <c r="N10" s="7"/>
      <c r="O10" s="7"/>
      <c r="P10" s="7"/>
      <c r="Q10" s="7"/>
      <c r="R10" s="7"/>
    </row>
    <row r="11" spans="1:18">
      <c r="A11" s="404"/>
      <c r="B11" s="406"/>
      <c r="C11" s="474"/>
      <c r="D11" s="483" t="s">
        <v>611</v>
      </c>
      <c r="E11" s="394">
        <v>157</v>
      </c>
      <c r="F11" s="394">
        <v>170</v>
      </c>
      <c r="G11" s="394">
        <v>186</v>
      </c>
      <c r="H11" s="394">
        <v>193</v>
      </c>
      <c r="I11" s="394">
        <v>157</v>
      </c>
      <c r="K11" s="7"/>
      <c r="L11" s="7"/>
      <c r="M11" s="7"/>
      <c r="N11" s="7"/>
      <c r="O11" s="7"/>
      <c r="P11" s="7"/>
      <c r="Q11" s="7"/>
      <c r="R11" s="7"/>
    </row>
    <row r="12" spans="1:18">
      <c r="A12" s="404"/>
      <c r="B12" s="406"/>
      <c r="C12" s="474"/>
      <c r="D12" s="483" t="s">
        <v>80</v>
      </c>
      <c r="E12" s="394">
        <v>4</v>
      </c>
      <c r="F12" s="394">
        <v>2</v>
      </c>
      <c r="G12" s="394">
        <v>2</v>
      </c>
      <c r="H12" s="394">
        <v>2</v>
      </c>
      <c r="I12" s="394">
        <v>2</v>
      </c>
      <c r="K12" s="7"/>
      <c r="L12" s="7"/>
      <c r="M12" s="7"/>
      <c r="N12" s="7"/>
      <c r="O12" s="7"/>
      <c r="P12" s="7"/>
      <c r="Q12" s="7"/>
      <c r="R12" s="7"/>
    </row>
    <row r="13" spans="1:18" ht="24.75" customHeight="1">
      <c r="A13" s="404"/>
      <c r="B13" s="852" t="s">
        <v>1145</v>
      </c>
      <c r="C13" s="1951" t="s">
        <v>192</v>
      </c>
      <c r="D13" s="1952"/>
      <c r="E13" s="472">
        <f>SUM(E14:E17)</f>
        <v>374</v>
      </c>
      <c r="F13" s="964">
        <f>SUM(F14:F17)</f>
        <v>347</v>
      </c>
      <c r="G13" s="964">
        <f>SUM(G14:G17)</f>
        <v>253</v>
      </c>
      <c r="H13" s="964">
        <f>SUM(H14:H17)</f>
        <v>740</v>
      </c>
      <c r="I13" s="964">
        <f>SUM(I14:I17)</f>
        <v>784</v>
      </c>
      <c r="K13" s="7"/>
      <c r="L13" s="7"/>
      <c r="M13" s="7"/>
      <c r="N13" s="7"/>
      <c r="O13" s="7"/>
      <c r="P13" s="7"/>
      <c r="Q13" s="7"/>
      <c r="R13" s="7"/>
    </row>
    <row r="14" spans="1:18">
      <c r="A14" s="404"/>
      <c r="B14" s="406"/>
      <c r="C14" s="406"/>
      <c r="D14" s="483" t="s">
        <v>46</v>
      </c>
      <c r="E14" s="394">
        <v>318</v>
      </c>
      <c r="F14" s="394">
        <v>287</v>
      </c>
      <c r="G14" s="394">
        <v>190</v>
      </c>
      <c r="H14" s="394">
        <v>687</v>
      </c>
      <c r="I14" s="394">
        <v>779</v>
      </c>
      <c r="K14" s="7"/>
      <c r="L14" s="7"/>
      <c r="M14" s="7"/>
      <c r="N14" s="7"/>
      <c r="O14" s="7"/>
      <c r="P14" s="7"/>
      <c r="Q14" s="7"/>
      <c r="R14" s="7"/>
    </row>
    <row r="15" spans="1:18">
      <c r="A15" s="404"/>
      <c r="B15" s="406"/>
      <c r="C15" s="406"/>
      <c r="D15" s="483" t="s">
        <v>865</v>
      </c>
      <c r="E15" s="394">
        <v>7</v>
      </c>
      <c r="F15" s="394">
        <v>7</v>
      </c>
      <c r="G15" s="394">
        <v>8</v>
      </c>
      <c r="H15" s="394">
        <v>7</v>
      </c>
      <c r="I15" s="394">
        <v>5</v>
      </c>
      <c r="K15" s="7"/>
      <c r="L15" s="7"/>
      <c r="M15" s="7"/>
      <c r="N15" s="7"/>
      <c r="O15" s="7"/>
      <c r="P15" s="7"/>
      <c r="Q15" s="7"/>
      <c r="R15" s="7"/>
    </row>
    <row r="16" spans="1:18">
      <c r="A16" s="404"/>
      <c r="B16" s="406"/>
      <c r="C16" s="406"/>
      <c r="D16" s="483" t="s">
        <v>611</v>
      </c>
      <c r="E16" s="394">
        <v>49</v>
      </c>
      <c r="F16" s="394">
        <v>53</v>
      </c>
      <c r="G16" s="394">
        <v>55</v>
      </c>
      <c r="H16" s="394">
        <v>46</v>
      </c>
      <c r="I16" s="394" t="s">
        <v>1229</v>
      </c>
      <c r="K16" s="7"/>
      <c r="L16" s="7"/>
      <c r="M16" s="7"/>
      <c r="N16" s="7"/>
      <c r="O16" s="7"/>
      <c r="P16" s="7"/>
      <c r="Q16" s="7"/>
      <c r="R16" s="7"/>
    </row>
    <row r="17" spans="1:22">
      <c r="A17" s="404"/>
      <c r="B17" s="406"/>
      <c r="C17" s="406"/>
      <c r="D17" s="483" t="s">
        <v>80</v>
      </c>
      <c r="E17" s="393" t="s">
        <v>1229</v>
      </c>
      <c r="F17" s="394" t="s">
        <v>1229</v>
      </c>
      <c r="G17" s="394" t="s">
        <v>1229</v>
      </c>
      <c r="H17" s="394" t="s">
        <v>1229</v>
      </c>
      <c r="I17" s="394" t="s">
        <v>1229</v>
      </c>
      <c r="K17" s="7"/>
      <c r="L17" s="7"/>
      <c r="M17" s="7"/>
      <c r="N17" s="7"/>
      <c r="O17" s="7"/>
      <c r="P17" s="7"/>
      <c r="Q17" s="7"/>
      <c r="R17" s="7"/>
    </row>
    <row r="18" spans="1:22" ht="24.75" customHeight="1">
      <c r="A18" s="404"/>
      <c r="B18" s="539" t="s">
        <v>1146</v>
      </c>
      <c r="C18" s="1933" t="s">
        <v>213</v>
      </c>
      <c r="D18" s="1937"/>
      <c r="E18" s="193">
        <f>SUM(E19:E22)</f>
        <v>5170</v>
      </c>
      <c r="F18" s="368">
        <f>SUM(F19:F22)</f>
        <v>5165</v>
      </c>
      <c r="G18" s="368">
        <f>SUM(G19:G22)</f>
        <v>5027</v>
      </c>
      <c r="H18" s="368">
        <f>SUM(H19:H22)</f>
        <v>4053</v>
      </c>
      <c r="I18" s="368">
        <f>SUM(I19:I22)</f>
        <v>2050</v>
      </c>
      <c r="K18" s="7"/>
      <c r="L18" s="7"/>
      <c r="M18" s="7"/>
      <c r="N18" s="7"/>
      <c r="O18" s="7"/>
      <c r="P18" s="7"/>
      <c r="Q18" s="7"/>
      <c r="R18" s="7"/>
    </row>
    <row r="19" spans="1:22">
      <c r="A19" s="404"/>
      <c r="B19" s="406"/>
      <c r="C19" s="406"/>
      <c r="D19" s="483" t="s">
        <v>46</v>
      </c>
      <c r="E19" s="394">
        <v>4702</v>
      </c>
      <c r="F19" s="394">
        <v>4653</v>
      </c>
      <c r="G19" s="394">
        <v>4512</v>
      </c>
      <c r="H19" s="394">
        <v>3639</v>
      </c>
      <c r="I19" s="394">
        <v>1886</v>
      </c>
      <c r="K19" s="7"/>
      <c r="L19" s="7"/>
      <c r="M19" s="7"/>
      <c r="N19" s="7"/>
      <c r="O19" s="7"/>
      <c r="P19" s="7"/>
      <c r="Q19" s="7"/>
      <c r="R19" s="7"/>
    </row>
    <row r="20" spans="1:22">
      <c r="A20" s="404"/>
      <c r="B20" s="406"/>
      <c r="C20" s="406"/>
      <c r="D20" s="483" t="s">
        <v>47</v>
      </c>
      <c r="E20" s="394">
        <v>293</v>
      </c>
      <c r="F20" s="394">
        <v>301</v>
      </c>
      <c r="G20" s="394">
        <v>297</v>
      </c>
      <c r="H20" s="394">
        <v>226</v>
      </c>
      <c r="I20" s="394">
        <v>157</v>
      </c>
      <c r="K20" s="7"/>
      <c r="L20" s="7"/>
      <c r="M20" s="7"/>
      <c r="N20" s="7"/>
      <c r="O20" s="7"/>
      <c r="P20" s="7"/>
      <c r="Q20" s="7"/>
      <c r="R20" s="7"/>
    </row>
    <row r="21" spans="1:22">
      <c r="A21" s="404"/>
      <c r="B21" s="406"/>
      <c r="C21" s="406"/>
      <c r="D21" s="483" t="s">
        <v>611</v>
      </c>
      <c r="E21" s="394">
        <v>175</v>
      </c>
      <c r="F21" s="394">
        <v>211</v>
      </c>
      <c r="G21" s="394">
        <v>218</v>
      </c>
      <c r="H21" s="394">
        <v>188</v>
      </c>
      <c r="I21" s="394">
        <v>7</v>
      </c>
      <c r="K21" s="7"/>
      <c r="L21" s="7"/>
      <c r="M21" s="7"/>
      <c r="N21" s="7"/>
      <c r="O21" s="7"/>
      <c r="P21" s="7"/>
      <c r="Q21" s="7"/>
      <c r="R21" s="7"/>
    </row>
    <row r="22" spans="1:22">
      <c r="A22" s="404"/>
      <c r="B22" s="406"/>
      <c r="C22" s="406"/>
      <c r="D22" s="483" t="s">
        <v>80</v>
      </c>
      <c r="E22" s="393" t="s">
        <v>1229</v>
      </c>
      <c r="F22" s="394" t="s">
        <v>1229</v>
      </c>
      <c r="G22" s="394" t="s">
        <v>1229</v>
      </c>
      <c r="H22" s="394" t="s">
        <v>1229</v>
      </c>
      <c r="I22" s="394" t="s">
        <v>1229</v>
      </c>
      <c r="K22" s="7"/>
      <c r="L22" s="7"/>
      <c r="M22" s="7"/>
      <c r="N22" s="7"/>
      <c r="O22" s="7"/>
      <c r="P22" s="7"/>
      <c r="Q22" s="7"/>
      <c r="R22" s="7"/>
    </row>
    <row r="23" spans="1:22" ht="24.75" customHeight="1">
      <c r="A23" s="404"/>
      <c r="B23" s="656" t="s">
        <v>1148</v>
      </c>
      <c r="C23" s="1933" t="s">
        <v>214</v>
      </c>
      <c r="D23" s="1937"/>
      <c r="E23" s="966">
        <f>SUM(E24:E28)</f>
        <v>7473</v>
      </c>
      <c r="F23" s="955">
        <f>SUM(F24:F28)</f>
        <v>7795</v>
      </c>
      <c r="G23" s="955">
        <f>SUM(G24:G28)</f>
        <v>8153</v>
      </c>
      <c r="H23" s="955">
        <f>SUM(H24:H28)</f>
        <v>9891</v>
      </c>
      <c r="I23" s="955">
        <f>SUM(I24:I28)</f>
        <v>7270</v>
      </c>
      <c r="K23" s="7"/>
      <c r="L23" s="7"/>
      <c r="M23" s="7"/>
      <c r="N23" s="7"/>
      <c r="O23" s="7"/>
      <c r="P23" s="7"/>
      <c r="Q23" s="7"/>
      <c r="R23" s="7"/>
    </row>
    <row r="24" spans="1:22">
      <c r="A24" s="404"/>
      <c r="B24" s="406"/>
      <c r="C24" s="406"/>
      <c r="D24" s="483" t="s">
        <v>48</v>
      </c>
      <c r="E24" s="394">
        <v>7029</v>
      </c>
      <c r="F24" s="394">
        <v>7274</v>
      </c>
      <c r="G24" s="394">
        <v>7608</v>
      </c>
      <c r="H24" s="394">
        <v>9285</v>
      </c>
      <c r="I24" s="394">
        <v>6346</v>
      </c>
      <c r="K24" s="7"/>
      <c r="L24" s="7"/>
      <c r="M24" s="7"/>
      <c r="N24" s="7"/>
      <c r="O24" s="7"/>
      <c r="P24" s="7"/>
      <c r="Q24" s="7"/>
      <c r="R24" s="7"/>
    </row>
    <row r="25" spans="1:22">
      <c r="A25" s="404"/>
      <c r="B25" s="406"/>
      <c r="C25" s="406"/>
      <c r="D25" s="1039" t="s">
        <v>49</v>
      </c>
      <c r="E25" s="394">
        <v>33</v>
      </c>
      <c r="F25" s="394">
        <v>29</v>
      </c>
      <c r="G25" s="394">
        <v>27</v>
      </c>
      <c r="H25" s="394" t="s">
        <v>1229</v>
      </c>
      <c r="I25" s="394">
        <v>6</v>
      </c>
      <c r="K25" s="7"/>
      <c r="L25" s="7"/>
      <c r="M25" s="7"/>
      <c r="N25" s="7"/>
      <c r="O25" s="7"/>
      <c r="P25" s="7"/>
      <c r="Q25" s="7"/>
      <c r="R25" s="7"/>
    </row>
    <row r="26" spans="1:22">
      <c r="A26" s="404"/>
      <c r="B26" s="406"/>
      <c r="C26" s="406"/>
      <c r="D26" s="483" t="s">
        <v>611</v>
      </c>
      <c r="E26" s="394">
        <v>83</v>
      </c>
      <c r="F26" s="394">
        <v>84</v>
      </c>
      <c r="G26" s="394">
        <v>84</v>
      </c>
      <c r="H26" s="394">
        <v>87</v>
      </c>
      <c r="I26" s="394">
        <v>322</v>
      </c>
      <c r="K26" s="7"/>
      <c r="L26" s="7"/>
      <c r="M26" s="7"/>
      <c r="N26" s="7"/>
      <c r="O26" s="7"/>
      <c r="P26" s="7"/>
      <c r="Q26" s="7"/>
      <c r="R26" s="7"/>
    </row>
    <row r="27" spans="1:22">
      <c r="A27" s="404"/>
      <c r="B27" s="406"/>
      <c r="C27" s="406"/>
      <c r="D27" s="483" t="s">
        <v>80</v>
      </c>
      <c r="E27" s="394" t="s">
        <v>1229</v>
      </c>
      <c r="F27" s="394" t="s">
        <v>1229</v>
      </c>
      <c r="G27" s="394" t="s">
        <v>1229</v>
      </c>
      <c r="H27" s="394" t="s">
        <v>1229</v>
      </c>
      <c r="I27" s="394" t="s">
        <v>1229</v>
      </c>
      <c r="K27" s="7"/>
      <c r="L27" s="7"/>
      <c r="M27" s="7"/>
      <c r="N27" s="7"/>
      <c r="O27" s="7"/>
      <c r="P27" s="7"/>
      <c r="Q27" s="7"/>
      <c r="R27" s="7"/>
    </row>
    <row r="28" spans="1:22">
      <c r="A28" s="404"/>
      <c r="B28" s="406"/>
      <c r="C28" s="406"/>
      <c r="D28" s="483" t="s">
        <v>1150</v>
      </c>
      <c r="E28" s="394">
        <v>328</v>
      </c>
      <c r="F28" s="394">
        <v>408</v>
      </c>
      <c r="G28" s="394">
        <v>434</v>
      </c>
      <c r="H28" s="394">
        <v>519</v>
      </c>
      <c r="I28" s="394">
        <v>596</v>
      </c>
      <c r="K28" s="7"/>
      <c r="L28" s="7"/>
      <c r="M28" s="7"/>
      <c r="N28" s="7"/>
      <c r="O28" s="7"/>
      <c r="P28" s="7"/>
      <c r="Q28" s="7"/>
      <c r="R28" s="7"/>
    </row>
    <row r="29" spans="1:22">
      <c r="A29" s="834" t="s">
        <v>1376</v>
      </c>
      <c r="B29" s="1911" t="s">
        <v>473</v>
      </c>
      <c r="C29" s="1911"/>
      <c r="D29" s="1912"/>
      <c r="E29" s="486">
        <v>1042</v>
      </c>
      <c r="F29" s="486">
        <v>1237</v>
      </c>
      <c r="G29" s="486">
        <v>1143</v>
      </c>
      <c r="H29" s="486">
        <v>1267</v>
      </c>
      <c r="I29" s="486">
        <v>1300</v>
      </c>
      <c r="K29" s="7"/>
      <c r="L29" s="7"/>
      <c r="M29" s="7"/>
      <c r="N29" s="7"/>
      <c r="O29" s="7"/>
      <c r="P29" s="7"/>
      <c r="Q29" s="7"/>
      <c r="R29" s="7"/>
    </row>
    <row r="30" spans="1:22" ht="24.75" customHeight="1">
      <c r="A30" s="904" t="s">
        <v>1377</v>
      </c>
      <c r="B30" s="1932" t="s">
        <v>190</v>
      </c>
      <c r="C30" s="1932"/>
      <c r="D30" s="1950"/>
      <c r="E30" s="487" t="s">
        <v>1229</v>
      </c>
      <c r="F30" s="487" t="s">
        <v>1229</v>
      </c>
      <c r="G30" s="487" t="s">
        <v>1229</v>
      </c>
      <c r="H30" s="487" t="s">
        <v>1229</v>
      </c>
      <c r="I30" s="487" t="s">
        <v>1229</v>
      </c>
      <c r="J30" s="7"/>
      <c r="K30" s="7"/>
      <c r="L30" s="7"/>
      <c r="M30" s="7"/>
      <c r="N30" s="7"/>
      <c r="O30" s="7"/>
      <c r="P30" s="7"/>
      <c r="Q30" s="7"/>
      <c r="R30" s="7"/>
    </row>
    <row r="31" spans="1:22" s="768" customFormat="1">
      <c r="A31" s="1016" t="s">
        <v>1378</v>
      </c>
      <c r="B31" s="1018" t="s">
        <v>474</v>
      </c>
      <c r="C31" s="1018"/>
      <c r="D31" s="1341"/>
      <c r="E31" s="1343" t="s">
        <v>1533</v>
      </c>
      <c r="F31" s="1343" t="s">
        <v>1534</v>
      </c>
      <c r="G31" s="1343" t="s">
        <v>797</v>
      </c>
      <c r="H31" s="1343" t="s">
        <v>971</v>
      </c>
      <c r="I31" s="1343" t="s">
        <v>1859</v>
      </c>
      <c r="J31" s="849"/>
      <c r="K31" s="849"/>
      <c r="L31" s="849"/>
      <c r="M31" s="849"/>
      <c r="N31" s="849"/>
      <c r="O31" s="849"/>
      <c r="P31" s="849"/>
      <c r="Q31" s="849"/>
      <c r="R31" s="849"/>
      <c r="S31" s="849"/>
      <c r="T31" s="849"/>
      <c r="U31" s="849"/>
      <c r="V31" s="849"/>
    </row>
    <row r="32" spans="1:22" ht="12" customHeight="1">
      <c r="A32" s="1189"/>
      <c r="B32" s="1154"/>
      <c r="C32" s="1172"/>
      <c r="D32" s="1154"/>
      <c r="E32" s="1154"/>
      <c r="F32" s="1163" t="s">
        <v>1446</v>
      </c>
      <c r="G32" s="1017" t="s">
        <v>386</v>
      </c>
      <c r="H32" s="1017"/>
      <c r="I32" s="1017"/>
    </row>
    <row r="33" spans="1:10" ht="12" customHeight="1">
      <c r="A33" s="1069"/>
      <c r="B33" s="1154"/>
      <c r="C33" s="1172"/>
      <c r="D33" s="1154"/>
      <c r="E33" s="1154"/>
      <c r="F33" s="1017"/>
      <c r="G33" s="1017" t="s">
        <v>387</v>
      </c>
      <c r="H33" s="1017"/>
      <c r="I33" s="1017"/>
    </row>
    <row r="34" spans="1:10" ht="12" customHeight="1">
      <c r="A34" s="1154"/>
      <c r="B34" s="1154"/>
      <c r="C34" s="1172"/>
      <c r="D34" s="1172"/>
      <c r="E34" s="1154"/>
      <c r="F34" s="1017"/>
      <c r="G34" s="1014" t="s">
        <v>215</v>
      </c>
      <c r="H34" s="1014"/>
      <c r="I34" s="1014"/>
    </row>
    <row r="35" spans="1:10" ht="12" customHeight="1">
      <c r="A35" s="1154"/>
      <c r="B35" s="1154"/>
      <c r="C35" s="1172"/>
      <c r="D35" s="1172"/>
      <c r="E35" s="1154"/>
      <c r="F35" s="1017"/>
      <c r="G35" s="1014" t="s">
        <v>493</v>
      </c>
      <c r="H35" s="1014"/>
      <c r="I35" s="1014"/>
    </row>
    <row r="36" spans="1:10" ht="12" customHeight="1">
      <c r="A36" s="1154"/>
      <c r="B36" s="1154"/>
      <c r="C36" s="1172"/>
      <c r="D36" s="1154"/>
      <c r="E36" s="1154"/>
      <c r="F36" s="1017"/>
      <c r="G36" s="1017" t="s">
        <v>1149</v>
      </c>
      <c r="H36" s="1017"/>
      <c r="I36" s="1017"/>
    </row>
    <row r="37" spans="1:10" ht="12" customHeight="1">
      <c r="A37" s="1154"/>
      <c r="B37" s="1154"/>
      <c r="C37" s="1172"/>
      <c r="D37" s="1154"/>
      <c r="E37" s="1154"/>
      <c r="F37" s="1017"/>
      <c r="G37" s="1017" t="s">
        <v>573</v>
      </c>
      <c r="H37" s="1017"/>
      <c r="I37" s="1017"/>
      <c r="J37" s="50"/>
    </row>
    <row r="38" spans="1:10" ht="12" customHeight="1">
      <c r="A38" s="1154"/>
      <c r="B38" s="1154"/>
      <c r="C38" s="1172"/>
      <c r="D38" s="1172"/>
      <c r="E38" s="1154"/>
      <c r="F38" s="1017"/>
      <c r="G38" s="1017" t="s">
        <v>1407</v>
      </c>
      <c r="H38" s="1017"/>
      <c r="I38" s="1017"/>
      <c r="J38" s="50"/>
    </row>
    <row r="39" spans="1:10">
      <c r="A39" s="1154"/>
      <c r="B39" s="1154"/>
      <c r="C39" s="1172"/>
      <c r="D39" s="1172"/>
      <c r="E39" s="1017"/>
      <c r="F39" s="1017"/>
      <c r="G39" s="1017"/>
      <c r="H39" s="1009"/>
      <c r="I39" s="1009"/>
    </row>
    <row r="40" spans="1:10">
      <c r="C40" s="50"/>
      <c r="D40" s="50"/>
      <c r="E40" s="50"/>
      <c r="F40" s="50"/>
      <c r="G40" s="50"/>
      <c r="H40" s="50"/>
      <c r="I40" s="50"/>
    </row>
  </sheetData>
  <mergeCells count="12">
    <mergeCell ref="B30:D30"/>
    <mergeCell ref="B29:D29"/>
    <mergeCell ref="C8:D8"/>
    <mergeCell ref="C13:D13"/>
    <mergeCell ref="C18:D18"/>
    <mergeCell ref="C23:D23"/>
    <mergeCell ref="A1:I1"/>
    <mergeCell ref="B7:D7"/>
    <mergeCell ref="A4:D5"/>
    <mergeCell ref="E4:I4"/>
    <mergeCell ref="A6:D6"/>
    <mergeCell ref="A2:I2"/>
  </mergeCells>
  <phoneticPr fontId="0" type="noConversion"/>
  <printOptions horizontalCentered="1"/>
  <pageMargins left="0.1" right="0.1" top="0.52" bottom="0.1" header="0.36" footer="0.1"/>
  <pageSetup paperSize="9" orientation="landscape" blackAndWhite="1" r:id="rId1"/>
  <headerFooter alignWithMargins="0"/>
</worksheet>
</file>

<file path=xl/worksheets/sheet35.xml><?xml version="1.0" encoding="utf-8"?>
<worksheet xmlns="http://schemas.openxmlformats.org/spreadsheetml/2006/main" xmlns:r="http://schemas.openxmlformats.org/officeDocument/2006/relationships">
  <sheetPr codeName="Sheet33"/>
  <dimension ref="A1:N45"/>
  <sheetViews>
    <sheetView workbookViewId="0">
      <selection activeCell="J11" sqref="J11"/>
    </sheetView>
  </sheetViews>
  <sheetFormatPr defaultRowHeight="12.75"/>
  <cols>
    <col min="1" max="1" width="2" customWidth="1"/>
    <col min="2" max="2" width="2.85546875" customWidth="1"/>
    <col min="3" max="3" width="0.85546875" customWidth="1"/>
    <col min="4" max="4" width="56.28515625" customWidth="1"/>
    <col min="5" max="5" width="12.5703125" customWidth="1"/>
    <col min="6" max="6" width="13.140625" customWidth="1"/>
    <col min="7" max="7" width="13.42578125" customWidth="1"/>
    <col min="8" max="8" width="12.140625" customWidth="1"/>
    <col min="9" max="9" width="12.42578125" customWidth="1"/>
  </cols>
  <sheetData>
    <row r="1" spans="1:14" ht="13.5" customHeight="1">
      <c r="A1" s="1928" t="s">
        <v>1776</v>
      </c>
      <c r="B1" s="1928"/>
      <c r="C1" s="1928"/>
      <c r="D1" s="1928"/>
      <c r="E1" s="1928"/>
      <c r="F1" s="1928"/>
      <c r="G1" s="1928"/>
      <c r="H1" s="1928"/>
      <c r="I1" s="1928"/>
    </row>
    <row r="2" spans="1:14" ht="33" customHeight="1">
      <c r="A2" s="1760" t="str">
        <f>CONCATENATE("Teachers in different type of Professional &amp; Technical Educational Institutions 
in the district of ",District!A1)</f>
        <v>Teachers in different type of Professional &amp; Technical Educational Institutions 
in the district of South 24-Parganas</v>
      </c>
      <c r="B2" s="1760"/>
      <c r="C2" s="1760"/>
      <c r="D2" s="1760"/>
      <c r="E2" s="1760"/>
      <c r="F2" s="1760"/>
      <c r="G2" s="1760"/>
      <c r="H2" s="1760"/>
      <c r="I2" s="1760"/>
    </row>
    <row r="3" spans="1:14" ht="13.5" customHeight="1">
      <c r="A3" s="891"/>
      <c r="B3" s="891"/>
      <c r="C3" s="891"/>
      <c r="D3" s="891"/>
      <c r="E3" s="891"/>
      <c r="F3" s="891"/>
      <c r="G3" s="891"/>
      <c r="H3" s="891"/>
      <c r="I3" s="113" t="s">
        <v>977</v>
      </c>
    </row>
    <row r="4" spans="1:14" ht="12.75" customHeight="1">
      <c r="A4" s="1723" t="s">
        <v>370</v>
      </c>
      <c r="B4" s="1962"/>
      <c r="C4" s="1962"/>
      <c r="D4" s="1963"/>
      <c r="E4" s="1941" t="s">
        <v>671</v>
      </c>
      <c r="F4" s="1926"/>
      <c r="G4" s="1926"/>
      <c r="H4" s="1926"/>
      <c r="I4" s="1927"/>
      <c r="J4" s="576"/>
      <c r="K4" s="576"/>
      <c r="L4" s="576"/>
      <c r="M4" s="576"/>
      <c r="N4" s="576"/>
    </row>
    <row r="5" spans="1:14">
      <c r="A5" s="1806"/>
      <c r="B5" s="1807"/>
      <c r="C5" s="1807"/>
      <c r="D5" s="1964"/>
      <c r="E5" s="665" t="s">
        <v>1317</v>
      </c>
      <c r="F5" s="665" t="s">
        <v>221</v>
      </c>
      <c r="G5" s="665" t="s">
        <v>1301</v>
      </c>
      <c r="H5" s="665" t="s">
        <v>621</v>
      </c>
      <c r="I5" s="665" t="s">
        <v>206</v>
      </c>
    </row>
    <row r="6" spans="1:14">
      <c r="A6" s="1716" t="s">
        <v>928</v>
      </c>
      <c r="B6" s="1717"/>
      <c r="C6" s="1717"/>
      <c r="D6" s="1797"/>
      <c r="E6" s="120" t="s">
        <v>929</v>
      </c>
      <c r="F6" s="119" t="s">
        <v>930</v>
      </c>
      <c r="G6" s="199" t="s">
        <v>931</v>
      </c>
      <c r="H6" s="119" t="s">
        <v>932</v>
      </c>
      <c r="I6" s="199" t="s">
        <v>933</v>
      </c>
    </row>
    <row r="7" spans="1:14">
      <c r="A7" s="772" t="s">
        <v>1375</v>
      </c>
      <c r="B7" s="1954" t="s">
        <v>243</v>
      </c>
      <c r="C7" s="1954"/>
      <c r="D7" s="1955"/>
      <c r="E7" s="489">
        <f>SUM(E8,E13,E16)</f>
        <v>71</v>
      </c>
      <c r="F7" s="489">
        <f>SUM(F8,F13,F16)</f>
        <v>75</v>
      </c>
      <c r="G7" s="489">
        <f>SUM(G8,G13,G16)</f>
        <v>69</v>
      </c>
      <c r="H7" s="489">
        <f>SUM(H8,H13,H16)</f>
        <v>69</v>
      </c>
      <c r="I7" s="489">
        <f>SUM(I8,I13,I16)</f>
        <v>59</v>
      </c>
    </row>
    <row r="8" spans="1:14">
      <c r="A8" s="404"/>
      <c r="B8" s="490" t="s">
        <v>1147</v>
      </c>
      <c r="C8" s="848" t="s">
        <v>1155</v>
      </c>
      <c r="D8" s="540"/>
      <c r="E8" s="477">
        <f>SUM(E9:E12)</f>
        <v>38</v>
      </c>
      <c r="F8" s="477">
        <f>SUM(F9:F12)</f>
        <v>46</v>
      </c>
      <c r="G8" s="477">
        <f>SUM(G9:G12)</f>
        <v>42</v>
      </c>
      <c r="H8" s="477">
        <f>SUM(H9:H12)</f>
        <v>43</v>
      </c>
      <c r="I8" s="477">
        <f>SUM(I9:I12)</f>
        <v>27</v>
      </c>
    </row>
    <row r="9" spans="1:14">
      <c r="A9" s="404"/>
      <c r="B9" s="406"/>
      <c r="C9" s="406"/>
      <c r="D9" s="483" t="s">
        <v>1157</v>
      </c>
      <c r="E9" s="85" t="s">
        <v>1229</v>
      </c>
      <c r="F9" s="85" t="s">
        <v>1229</v>
      </c>
      <c r="G9" s="85" t="s">
        <v>1229</v>
      </c>
      <c r="H9" s="85" t="s">
        <v>1229</v>
      </c>
      <c r="I9" s="85" t="s">
        <v>1229</v>
      </c>
    </row>
    <row r="10" spans="1:14">
      <c r="A10" s="404"/>
      <c r="B10" s="406"/>
      <c r="C10" s="406"/>
      <c r="D10" s="483" t="s">
        <v>81</v>
      </c>
      <c r="E10" s="85" t="s">
        <v>1229</v>
      </c>
      <c r="F10" s="85" t="s">
        <v>1229</v>
      </c>
      <c r="G10" s="85" t="s">
        <v>1229</v>
      </c>
      <c r="H10" s="85" t="s">
        <v>1229</v>
      </c>
      <c r="I10" s="85" t="s">
        <v>1229</v>
      </c>
    </row>
    <row r="11" spans="1:14">
      <c r="A11" s="404"/>
      <c r="B11" s="406"/>
      <c r="C11" s="406"/>
      <c r="D11" s="483" t="s">
        <v>1159</v>
      </c>
      <c r="E11" s="85">
        <v>21</v>
      </c>
      <c r="F11" s="85">
        <v>23</v>
      </c>
      <c r="G11" s="85">
        <v>12</v>
      </c>
      <c r="H11" s="85">
        <v>21</v>
      </c>
      <c r="I11" s="85">
        <v>12</v>
      </c>
    </row>
    <row r="12" spans="1:14">
      <c r="A12" s="404"/>
      <c r="B12" s="406"/>
      <c r="C12" s="406"/>
      <c r="D12" s="483" t="s">
        <v>1302</v>
      </c>
      <c r="E12" s="85">
        <v>17</v>
      </c>
      <c r="F12" s="85">
        <v>23</v>
      </c>
      <c r="G12" s="85">
        <v>30</v>
      </c>
      <c r="H12" s="85">
        <v>22</v>
      </c>
      <c r="I12" s="85">
        <v>15</v>
      </c>
    </row>
    <row r="13" spans="1:14">
      <c r="A13" s="404"/>
      <c r="B13" s="480" t="s">
        <v>1145</v>
      </c>
      <c r="C13" s="848" t="s">
        <v>1160</v>
      </c>
      <c r="D13" s="541"/>
      <c r="E13" s="472" t="str">
        <f>IF(SUM(E14:E15)=0,"..",SUM(E14:E15))</f>
        <v>..</v>
      </c>
      <c r="F13" s="472" t="s">
        <v>857</v>
      </c>
      <c r="G13" s="472" t="s">
        <v>857</v>
      </c>
      <c r="H13" s="472" t="s">
        <v>857</v>
      </c>
      <c r="I13" s="472">
        <v>5</v>
      </c>
    </row>
    <row r="14" spans="1:14" ht="12.75" customHeight="1">
      <c r="A14" s="404"/>
      <c r="B14" s="406"/>
      <c r="C14" s="406"/>
      <c r="D14" s="483" t="s">
        <v>1161</v>
      </c>
      <c r="E14" s="303" t="s">
        <v>857</v>
      </c>
      <c r="F14" s="303" t="s">
        <v>857</v>
      </c>
      <c r="G14" s="303" t="s">
        <v>857</v>
      </c>
      <c r="H14" s="303" t="s">
        <v>857</v>
      </c>
      <c r="I14" s="303">
        <v>5</v>
      </c>
    </row>
    <row r="15" spans="1:14">
      <c r="A15" s="404"/>
      <c r="B15" s="406"/>
      <c r="C15" s="406"/>
      <c r="D15" s="483" t="s">
        <v>1162</v>
      </c>
      <c r="E15" s="85" t="s">
        <v>1229</v>
      </c>
      <c r="F15" s="85" t="s">
        <v>1229</v>
      </c>
      <c r="G15" s="85" t="s">
        <v>1229</v>
      </c>
      <c r="H15" s="85" t="s">
        <v>1229</v>
      </c>
      <c r="I15" s="85" t="s">
        <v>1229</v>
      </c>
    </row>
    <row r="16" spans="1:14" ht="26.25" customHeight="1">
      <c r="A16" s="404"/>
      <c r="B16" s="1342" t="s">
        <v>1146</v>
      </c>
      <c r="C16" s="1960" t="s">
        <v>360</v>
      </c>
      <c r="D16" s="1961"/>
      <c r="E16" s="190">
        <v>33</v>
      </c>
      <c r="F16" s="190">
        <v>29</v>
      </c>
      <c r="G16" s="190">
        <v>27</v>
      </c>
      <c r="H16" s="190">
        <v>26</v>
      </c>
      <c r="I16" s="190">
        <v>27</v>
      </c>
    </row>
    <row r="17" spans="1:9">
      <c r="A17" s="772" t="s">
        <v>1376</v>
      </c>
      <c r="B17" s="1954" t="s">
        <v>250</v>
      </c>
      <c r="C17" s="1954"/>
      <c r="D17" s="1955"/>
      <c r="E17" s="489">
        <f>SUM(E18,E25,E28)</f>
        <v>721</v>
      </c>
      <c r="F17" s="489">
        <f>SUM(F18,F25,F28)</f>
        <v>698</v>
      </c>
      <c r="G17" s="489">
        <f>SUM(G18,G25,G28)</f>
        <v>698</v>
      </c>
      <c r="H17" s="489">
        <f>SUM(H18,H25,H28)</f>
        <v>631</v>
      </c>
      <c r="I17" s="489">
        <f>SUM(I18,I25,I28)</f>
        <v>764</v>
      </c>
    </row>
    <row r="18" spans="1:9">
      <c r="A18" s="404"/>
      <c r="B18" s="491" t="s">
        <v>1147</v>
      </c>
      <c r="C18" s="233" t="s">
        <v>1163</v>
      </c>
      <c r="D18" s="542"/>
      <c r="E18" s="193">
        <f>SUM(E19:E24)</f>
        <v>594</v>
      </c>
      <c r="F18" s="193">
        <f>SUM(F19:F24)</f>
        <v>579</v>
      </c>
      <c r="G18" s="193">
        <f>SUM(G19:G24)</f>
        <v>590</v>
      </c>
      <c r="H18" s="193">
        <f>SUM(H19:H24)</f>
        <v>526</v>
      </c>
      <c r="I18" s="193">
        <f>SUM(I19:I24)</f>
        <v>646</v>
      </c>
    </row>
    <row r="19" spans="1:9" ht="12.75" customHeight="1">
      <c r="A19" s="404"/>
      <c r="B19" s="406"/>
      <c r="C19" s="406"/>
      <c r="D19" s="804" t="s">
        <v>1101</v>
      </c>
      <c r="E19" s="85" t="s">
        <v>1229</v>
      </c>
      <c r="F19" s="85" t="s">
        <v>1229</v>
      </c>
      <c r="G19" s="85" t="s">
        <v>1229</v>
      </c>
      <c r="H19" s="85" t="s">
        <v>1229</v>
      </c>
      <c r="I19" s="85" t="s">
        <v>1229</v>
      </c>
    </row>
    <row r="20" spans="1:9">
      <c r="A20" s="404"/>
      <c r="B20" s="406"/>
      <c r="C20" s="406"/>
      <c r="D20" s="483" t="s">
        <v>1164</v>
      </c>
      <c r="E20" s="85">
        <v>403</v>
      </c>
      <c r="F20" s="85">
        <v>380</v>
      </c>
      <c r="G20" s="85">
        <v>373</v>
      </c>
      <c r="H20" s="85">
        <v>373</v>
      </c>
      <c r="I20" s="85">
        <v>529</v>
      </c>
    </row>
    <row r="21" spans="1:9">
      <c r="A21" s="404"/>
      <c r="B21" s="406"/>
      <c r="C21" s="406"/>
      <c r="D21" s="483" t="s">
        <v>1165</v>
      </c>
      <c r="E21" s="85">
        <v>191</v>
      </c>
      <c r="F21" s="85">
        <v>199</v>
      </c>
      <c r="G21" s="85">
        <v>217</v>
      </c>
      <c r="H21" s="85">
        <v>153</v>
      </c>
      <c r="I21" s="85">
        <v>117</v>
      </c>
    </row>
    <row r="22" spans="1:9">
      <c r="A22" s="404"/>
      <c r="B22" s="406"/>
      <c r="C22" s="406"/>
      <c r="D22" s="483" t="s">
        <v>1166</v>
      </c>
      <c r="E22" s="85" t="s">
        <v>1229</v>
      </c>
      <c r="F22" s="85" t="s">
        <v>1229</v>
      </c>
      <c r="G22" s="85" t="s">
        <v>1229</v>
      </c>
      <c r="H22" s="85" t="s">
        <v>1229</v>
      </c>
      <c r="I22" s="85" t="s">
        <v>1229</v>
      </c>
    </row>
    <row r="23" spans="1:9">
      <c r="A23" s="404"/>
      <c r="B23" s="406"/>
      <c r="C23" s="406"/>
      <c r="D23" s="483" t="s">
        <v>1167</v>
      </c>
      <c r="E23" s="85" t="s">
        <v>1229</v>
      </c>
      <c r="F23" s="85" t="s">
        <v>1229</v>
      </c>
      <c r="G23" s="85" t="s">
        <v>1229</v>
      </c>
      <c r="H23" s="85" t="s">
        <v>1229</v>
      </c>
      <c r="I23" s="85" t="s">
        <v>1229</v>
      </c>
    </row>
    <row r="24" spans="1:9" ht="25.5">
      <c r="A24" s="404"/>
      <c r="B24" s="406"/>
      <c r="C24" s="406"/>
      <c r="D24" s="804" t="s">
        <v>605</v>
      </c>
      <c r="E24" s="85" t="s">
        <v>1229</v>
      </c>
      <c r="F24" s="85" t="s">
        <v>1229</v>
      </c>
      <c r="G24" s="85" t="s">
        <v>1229</v>
      </c>
      <c r="H24" s="85" t="s">
        <v>1229</v>
      </c>
      <c r="I24" s="85" t="s">
        <v>1229</v>
      </c>
    </row>
    <row r="25" spans="1:9">
      <c r="A25" s="404"/>
      <c r="B25" s="284" t="s">
        <v>1145</v>
      </c>
      <c r="C25" s="283" t="s">
        <v>1168</v>
      </c>
      <c r="D25" s="484"/>
      <c r="E25" s="479">
        <f>IF(SUM(E26:E27)=0,"-",SUM(E26:E27))</f>
        <v>107</v>
      </c>
      <c r="F25" s="479">
        <f>IF(SUM(F26:F27)=0,"-",SUM(F26:F27))</f>
        <v>99</v>
      </c>
      <c r="G25" s="479">
        <f>IF(SUM(G26:G27)=0,"-",SUM(G26:G27))</f>
        <v>88</v>
      </c>
      <c r="H25" s="479">
        <f>IF(SUM(H26:H27)=0,"-",SUM(H26:H27))</f>
        <v>85</v>
      </c>
      <c r="I25" s="479">
        <v>97</v>
      </c>
    </row>
    <row r="26" spans="1:9">
      <c r="A26" s="404"/>
      <c r="B26" s="406"/>
      <c r="C26" s="406"/>
      <c r="D26" s="483" t="s">
        <v>1169</v>
      </c>
      <c r="E26" s="393">
        <v>107</v>
      </c>
      <c r="F26" s="393">
        <v>99</v>
      </c>
      <c r="G26" s="393">
        <v>88</v>
      </c>
      <c r="H26" s="393">
        <v>85</v>
      </c>
      <c r="I26" s="393">
        <v>97</v>
      </c>
    </row>
    <row r="27" spans="1:9">
      <c r="A27" s="404"/>
      <c r="B27" s="406"/>
      <c r="C27" s="406"/>
      <c r="D27" s="483" t="s">
        <v>1170</v>
      </c>
      <c r="E27" s="303" t="s">
        <v>1229</v>
      </c>
      <c r="F27" s="303" t="s">
        <v>1229</v>
      </c>
      <c r="G27" s="303" t="s">
        <v>1229</v>
      </c>
      <c r="H27" s="303" t="s">
        <v>1229</v>
      </c>
      <c r="I27" s="303" t="s">
        <v>1229</v>
      </c>
    </row>
    <row r="28" spans="1:9">
      <c r="A28" s="404"/>
      <c r="B28" s="491" t="s">
        <v>1146</v>
      </c>
      <c r="C28" s="233" t="s">
        <v>82</v>
      </c>
      <c r="D28" s="542"/>
      <c r="E28" s="193">
        <f>IF(SUM(E29:E33)=0,"-",SUM(E29:E33))</f>
        <v>20</v>
      </c>
      <c r="F28" s="193">
        <f>IF(SUM(F29:F33)=0,"-",SUM(F29:F33))</f>
        <v>20</v>
      </c>
      <c r="G28" s="193">
        <f>IF(SUM(G29:G33)=0,"-",SUM(G29:G33))</f>
        <v>20</v>
      </c>
      <c r="H28" s="193">
        <f>IF(SUM(H29:H33)=0,"-",SUM(H29:H33))</f>
        <v>20</v>
      </c>
      <c r="I28" s="193">
        <v>21</v>
      </c>
    </row>
    <row r="29" spans="1:9">
      <c r="A29" s="404"/>
      <c r="B29" s="406"/>
      <c r="C29" s="406"/>
      <c r="D29" s="483" t="s">
        <v>1171</v>
      </c>
      <c r="E29" s="85">
        <v>20</v>
      </c>
      <c r="F29" s="85">
        <v>20</v>
      </c>
      <c r="G29" s="85">
        <v>20</v>
      </c>
      <c r="H29" s="85">
        <v>20</v>
      </c>
      <c r="I29" s="85">
        <v>21</v>
      </c>
    </row>
    <row r="30" spans="1:9">
      <c r="A30" s="404"/>
      <c r="B30" s="406"/>
      <c r="C30" s="406"/>
      <c r="D30" s="483" t="s">
        <v>1172</v>
      </c>
      <c r="E30" s="85" t="s">
        <v>1229</v>
      </c>
      <c r="F30" s="85" t="s">
        <v>1229</v>
      </c>
      <c r="G30" s="85" t="s">
        <v>1229</v>
      </c>
      <c r="H30" s="85" t="s">
        <v>1229</v>
      </c>
      <c r="I30" s="85" t="s">
        <v>1229</v>
      </c>
    </row>
    <row r="31" spans="1:9">
      <c r="A31" s="404"/>
      <c r="B31" s="406"/>
      <c r="C31" s="406"/>
      <c r="D31" s="483" t="s">
        <v>1175</v>
      </c>
      <c r="E31" s="85" t="s">
        <v>1229</v>
      </c>
      <c r="F31" s="85" t="s">
        <v>1229</v>
      </c>
      <c r="G31" s="85" t="s">
        <v>1229</v>
      </c>
      <c r="H31" s="85" t="s">
        <v>1229</v>
      </c>
      <c r="I31" s="85" t="s">
        <v>1229</v>
      </c>
    </row>
    <row r="32" spans="1:9">
      <c r="A32" s="404"/>
      <c r="B32" s="406"/>
      <c r="C32" s="406"/>
      <c r="D32" s="483" t="s">
        <v>1173</v>
      </c>
      <c r="E32" s="85" t="s">
        <v>1229</v>
      </c>
      <c r="F32" s="85" t="s">
        <v>1229</v>
      </c>
      <c r="G32" s="85" t="s">
        <v>1229</v>
      </c>
      <c r="H32" s="85" t="s">
        <v>1229</v>
      </c>
      <c r="I32" s="85" t="s">
        <v>1229</v>
      </c>
    </row>
    <row r="33" spans="1:9">
      <c r="A33" s="404"/>
      <c r="B33" s="406"/>
      <c r="C33" s="406"/>
      <c r="D33" s="483" t="s">
        <v>1174</v>
      </c>
      <c r="E33" s="85" t="s">
        <v>1229</v>
      </c>
      <c r="F33" s="85" t="s">
        <v>1229</v>
      </c>
      <c r="G33" s="85" t="s">
        <v>1229</v>
      </c>
      <c r="H33" s="85" t="s">
        <v>1229</v>
      </c>
      <c r="I33" s="85" t="s">
        <v>1229</v>
      </c>
    </row>
    <row r="34" spans="1:9">
      <c r="A34" s="772" t="s">
        <v>1377</v>
      </c>
      <c r="B34" s="1956" t="s">
        <v>251</v>
      </c>
      <c r="C34" s="1956"/>
      <c r="D34" s="1957"/>
      <c r="E34" s="1240" t="s">
        <v>1229</v>
      </c>
      <c r="F34" s="1240" t="s">
        <v>1229</v>
      </c>
      <c r="G34" s="1240" t="s">
        <v>1229</v>
      </c>
      <c r="H34" s="1240" t="s">
        <v>1229</v>
      </c>
      <c r="I34" s="1240" t="s">
        <v>1229</v>
      </c>
    </row>
    <row r="35" spans="1:9">
      <c r="A35" s="469"/>
      <c r="B35" s="1958" t="s">
        <v>958</v>
      </c>
      <c r="C35" s="1958"/>
      <c r="D35" s="1959"/>
      <c r="E35" s="208">
        <f>SUM(E7,E17,E34)</f>
        <v>792</v>
      </c>
      <c r="F35" s="208">
        <f>SUM(F7,F17,F34)</f>
        <v>773</v>
      </c>
      <c r="G35" s="208">
        <f>SUM(G7,G17,G34)</f>
        <v>767</v>
      </c>
      <c r="H35" s="208">
        <f>SUM(H7,H17,H34)</f>
        <v>700</v>
      </c>
      <c r="I35" s="208">
        <f>SUM(I7,I17,I34)</f>
        <v>823</v>
      </c>
    </row>
    <row r="36" spans="1:9">
      <c r="A36" s="1953" t="str">
        <f>CONCATENATE("Source : Heads of all Technical and Professional Institutions, ",District!A1)</f>
        <v>Source : Heads of all Technical and Professional Institutions, South 24-Parganas</v>
      </c>
      <c r="B36" s="1953"/>
      <c r="C36" s="1953"/>
      <c r="D36" s="1953"/>
      <c r="E36" s="1953"/>
      <c r="F36" s="1953"/>
      <c r="G36" s="1953"/>
      <c r="H36" s="1953"/>
      <c r="I36" s="1953"/>
    </row>
    <row r="37" spans="1:9">
      <c r="A37" s="50"/>
      <c r="B37" s="50"/>
      <c r="C37" s="50"/>
      <c r="D37" s="50"/>
      <c r="E37" s="50"/>
      <c r="F37" s="102"/>
      <c r="G37" s="620"/>
      <c r="H37" s="620"/>
      <c r="I37" s="620"/>
    </row>
    <row r="38" spans="1:9">
      <c r="A38" s="50"/>
      <c r="B38" s="50"/>
      <c r="C38" s="50"/>
      <c r="D38" s="50"/>
      <c r="E38" s="50"/>
      <c r="F38" s="50"/>
      <c r="G38" s="50"/>
      <c r="H38" s="50"/>
      <c r="I38" s="50"/>
    </row>
    <row r="39" spans="1:9">
      <c r="A39" s="50"/>
      <c r="B39" s="50"/>
      <c r="C39" s="50"/>
      <c r="D39" s="50"/>
      <c r="E39" s="50"/>
      <c r="F39" s="50"/>
      <c r="G39" s="50"/>
      <c r="H39" s="50"/>
      <c r="I39" s="50"/>
    </row>
    <row r="40" spans="1:9">
      <c r="A40" s="50"/>
      <c r="B40" s="50"/>
      <c r="C40" s="50"/>
      <c r="D40" s="50"/>
      <c r="E40" s="50"/>
      <c r="F40" s="50"/>
      <c r="G40" s="50"/>
      <c r="H40" s="50"/>
      <c r="I40" s="50"/>
    </row>
    <row r="41" spans="1:9">
      <c r="A41" s="50"/>
      <c r="B41" s="50"/>
      <c r="C41" s="50"/>
      <c r="D41" s="50"/>
      <c r="E41" s="50"/>
      <c r="F41" s="50"/>
      <c r="G41" s="50"/>
      <c r="H41" s="50"/>
      <c r="I41" s="50"/>
    </row>
    <row r="42" spans="1:9">
      <c r="A42" s="50"/>
      <c r="B42" s="50"/>
      <c r="C42" s="50"/>
      <c r="D42" s="50"/>
      <c r="E42" s="50"/>
      <c r="F42" s="50"/>
      <c r="G42" s="50"/>
      <c r="H42" s="50"/>
      <c r="I42" s="50"/>
    </row>
    <row r="43" spans="1:9">
      <c r="A43" s="50"/>
      <c r="B43" s="50"/>
      <c r="C43" s="50"/>
      <c r="D43" s="50"/>
      <c r="E43" s="50"/>
      <c r="F43" s="50"/>
      <c r="G43" s="50"/>
      <c r="H43" s="50"/>
      <c r="I43" s="50"/>
    </row>
    <row r="44" spans="1:9">
      <c r="A44" s="50"/>
      <c r="B44" s="50"/>
      <c r="C44" s="50"/>
      <c r="D44" s="50"/>
      <c r="E44" s="50"/>
      <c r="F44" s="50"/>
      <c r="G44" s="50"/>
      <c r="H44" s="50"/>
      <c r="I44" s="50"/>
    </row>
    <row r="45" spans="1:9">
      <c r="A45" s="50"/>
      <c r="B45" s="50"/>
      <c r="C45" s="50"/>
      <c r="D45" s="50"/>
      <c r="E45" s="50"/>
      <c r="F45" s="50"/>
      <c r="G45" s="50"/>
      <c r="H45" s="50"/>
      <c r="I45" s="50"/>
    </row>
  </sheetData>
  <mergeCells count="11">
    <mergeCell ref="A1:I1"/>
    <mergeCell ref="A2:I2"/>
    <mergeCell ref="A6:D6"/>
    <mergeCell ref="A4:D5"/>
    <mergeCell ref="E4:I4"/>
    <mergeCell ref="A36:I36"/>
    <mergeCell ref="B17:D17"/>
    <mergeCell ref="B34:D34"/>
    <mergeCell ref="B35:D35"/>
    <mergeCell ref="B7:D7"/>
    <mergeCell ref="C16:D16"/>
  </mergeCells>
  <phoneticPr fontId="0" type="noConversion"/>
  <printOptions horizontalCentered="1"/>
  <pageMargins left="0.1" right="0.1" top="0.65" bottom="0.1" header="0.36" footer="0.1"/>
  <pageSetup paperSize="9" orientation="landscape" blackAndWhite="1" r:id="rId1"/>
  <headerFooter alignWithMargins="0"/>
</worksheet>
</file>

<file path=xl/worksheets/sheet36.xml><?xml version="1.0" encoding="utf-8"?>
<worksheet xmlns="http://schemas.openxmlformats.org/spreadsheetml/2006/main" xmlns:r="http://schemas.openxmlformats.org/officeDocument/2006/relationships">
  <sheetPr codeName="Sheet34"/>
  <dimension ref="A1:J28"/>
  <sheetViews>
    <sheetView topLeftCell="A10" workbookViewId="0">
      <selection activeCell="J11" sqref="J11"/>
    </sheetView>
  </sheetViews>
  <sheetFormatPr defaultRowHeight="12.75"/>
  <cols>
    <col min="1" max="1" width="3.140625" customWidth="1"/>
    <col min="4" max="4" width="23.140625" customWidth="1"/>
    <col min="5" max="9" width="15.7109375" customWidth="1"/>
  </cols>
  <sheetData>
    <row r="1" spans="1:9" ht="12.75" customHeight="1">
      <c r="A1" s="1899" t="s">
        <v>1783</v>
      </c>
      <c r="B1" s="1899"/>
      <c r="C1" s="1899"/>
      <c r="D1" s="1899"/>
      <c r="E1" s="1899"/>
      <c r="F1" s="1899"/>
      <c r="G1" s="1899"/>
      <c r="H1" s="1899"/>
      <c r="I1" s="1899"/>
    </row>
    <row r="2" spans="1:9" ht="33.75" customHeight="1">
      <c r="A2" s="1949" t="str">
        <f>CONCATENATE("Teachers in different type of Special and Non-formal Educational Institutions 
in the district of ",District!A1)</f>
        <v>Teachers in different type of Special and Non-formal Educational Institutions 
in the district of South 24-Parganas</v>
      </c>
      <c r="B2" s="1949"/>
      <c r="C2" s="1949"/>
      <c r="D2" s="1949"/>
      <c r="E2" s="1949"/>
      <c r="F2" s="1949"/>
      <c r="G2" s="1949"/>
      <c r="H2" s="1949"/>
      <c r="I2" s="1949"/>
    </row>
    <row r="3" spans="1:9" ht="18.75" customHeight="1">
      <c r="A3" s="891"/>
      <c r="B3" s="891"/>
      <c r="C3" s="891"/>
      <c r="D3" s="891"/>
      <c r="E3" s="891"/>
      <c r="F3" s="891"/>
      <c r="G3" s="891"/>
      <c r="H3" s="891"/>
      <c r="I3" s="95" t="s">
        <v>977</v>
      </c>
    </row>
    <row r="4" spans="1:9" ht="15.95" customHeight="1">
      <c r="A4" s="1723" t="s">
        <v>370</v>
      </c>
      <c r="B4" s="1921"/>
      <c r="C4" s="1921"/>
      <c r="D4" s="1922"/>
      <c r="E4" s="1941" t="s">
        <v>671</v>
      </c>
      <c r="F4" s="1926"/>
      <c r="G4" s="1926"/>
      <c r="H4" s="1926"/>
      <c r="I4" s="1927"/>
    </row>
    <row r="5" spans="1:9" ht="15.95" customHeight="1">
      <c r="A5" s="1923"/>
      <c r="B5" s="1924"/>
      <c r="C5" s="1924"/>
      <c r="D5" s="1925"/>
      <c r="E5" s="665" t="s">
        <v>1317</v>
      </c>
      <c r="F5" s="665" t="s">
        <v>221</v>
      </c>
      <c r="G5" s="665" t="s">
        <v>1301</v>
      </c>
      <c r="H5" s="665" t="s">
        <v>621</v>
      </c>
      <c r="I5" s="665" t="s">
        <v>206</v>
      </c>
    </row>
    <row r="6" spans="1:9" ht="15.95" customHeight="1">
      <c r="A6" s="1967" t="s">
        <v>928</v>
      </c>
      <c r="B6" s="1717"/>
      <c r="C6" s="1717"/>
      <c r="D6" s="1797"/>
      <c r="E6" s="120" t="s">
        <v>929</v>
      </c>
      <c r="F6" s="119" t="s">
        <v>930</v>
      </c>
      <c r="G6" s="199" t="s">
        <v>931</v>
      </c>
      <c r="H6" s="119" t="s">
        <v>932</v>
      </c>
      <c r="I6" s="199" t="s">
        <v>933</v>
      </c>
    </row>
    <row r="7" spans="1:9" ht="18" customHeight="1">
      <c r="A7" s="455">
        <v>1</v>
      </c>
      <c r="B7" s="1929" t="s">
        <v>1176</v>
      </c>
      <c r="C7" s="1929"/>
      <c r="D7" s="1930"/>
      <c r="E7" s="85">
        <v>4041</v>
      </c>
      <c r="F7" s="85">
        <v>4021</v>
      </c>
      <c r="G7" s="85">
        <v>3992</v>
      </c>
      <c r="H7" s="85">
        <v>3978</v>
      </c>
      <c r="I7" s="85">
        <v>3947</v>
      </c>
    </row>
    <row r="8" spans="1:9" ht="18" customHeight="1">
      <c r="A8" s="226">
        <v>2</v>
      </c>
      <c r="B8" s="1931" t="s">
        <v>361</v>
      </c>
      <c r="C8" s="1915"/>
      <c r="D8" s="1916"/>
      <c r="E8" s="85">
        <v>406</v>
      </c>
      <c r="F8" s="85">
        <v>392</v>
      </c>
      <c r="G8" s="85">
        <v>383</v>
      </c>
      <c r="H8" s="85">
        <v>383</v>
      </c>
      <c r="I8" s="85">
        <v>371</v>
      </c>
    </row>
    <row r="9" spans="1:9" ht="18" customHeight="1">
      <c r="A9" s="226">
        <v>3</v>
      </c>
      <c r="B9" s="1915" t="s">
        <v>1177</v>
      </c>
      <c r="C9" s="1915"/>
      <c r="D9" s="1916"/>
      <c r="E9" s="85">
        <v>6</v>
      </c>
      <c r="F9" s="85">
        <v>7</v>
      </c>
      <c r="G9" s="85">
        <v>6</v>
      </c>
      <c r="H9" s="85">
        <v>6</v>
      </c>
      <c r="I9" s="85">
        <v>5</v>
      </c>
    </row>
    <row r="10" spans="1:9" ht="18" customHeight="1">
      <c r="A10" s="226">
        <v>4</v>
      </c>
      <c r="B10" s="1915" t="s">
        <v>368</v>
      </c>
      <c r="C10" s="1915"/>
      <c r="D10" s="1916"/>
      <c r="E10" s="85">
        <v>191</v>
      </c>
      <c r="F10" s="85">
        <v>186</v>
      </c>
      <c r="G10" s="85">
        <v>177</v>
      </c>
      <c r="H10" s="85">
        <v>153</v>
      </c>
      <c r="I10" s="85">
        <v>99</v>
      </c>
    </row>
    <row r="11" spans="1:9" ht="18" customHeight="1">
      <c r="A11" s="226">
        <v>5</v>
      </c>
      <c r="B11" s="1915" t="s">
        <v>1179</v>
      </c>
      <c r="C11" s="1915"/>
      <c r="D11" s="1916"/>
      <c r="E11" s="85">
        <v>22</v>
      </c>
      <c r="F11" s="85">
        <v>28</v>
      </c>
      <c r="G11" s="85">
        <v>28</v>
      </c>
      <c r="H11" s="85">
        <v>20</v>
      </c>
      <c r="I11" s="85">
        <v>19</v>
      </c>
    </row>
    <row r="12" spans="1:9" ht="18" customHeight="1">
      <c r="A12" s="226">
        <v>6</v>
      </c>
      <c r="B12" s="1915" t="s">
        <v>1181</v>
      </c>
      <c r="C12" s="1915"/>
      <c r="D12" s="1916"/>
      <c r="E12" s="85" t="s">
        <v>1229</v>
      </c>
      <c r="F12" s="85" t="s">
        <v>1229</v>
      </c>
      <c r="G12" s="85" t="s">
        <v>1229</v>
      </c>
      <c r="H12" s="85" t="s">
        <v>1229</v>
      </c>
      <c r="I12" s="85" t="s">
        <v>1229</v>
      </c>
    </row>
    <row r="13" spans="1:9" ht="26.25" customHeight="1">
      <c r="A13" s="226">
        <v>7</v>
      </c>
      <c r="B13" s="1919" t="s">
        <v>369</v>
      </c>
      <c r="C13" s="1919"/>
      <c r="D13" s="1920"/>
      <c r="E13" s="85">
        <v>67</v>
      </c>
      <c r="F13" s="85">
        <v>59</v>
      </c>
      <c r="G13" s="85">
        <v>68</v>
      </c>
      <c r="H13" s="85">
        <v>120</v>
      </c>
      <c r="I13" s="85">
        <v>70</v>
      </c>
    </row>
    <row r="14" spans="1:9" ht="18" customHeight="1">
      <c r="A14" s="226">
        <v>8</v>
      </c>
      <c r="B14" s="1915" t="s">
        <v>1182</v>
      </c>
      <c r="C14" s="1915"/>
      <c r="D14" s="1916"/>
      <c r="E14" s="85">
        <v>146</v>
      </c>
      <c r="F14" s="85">
        <v>147</v>
      </c>
      <c r="G14" s="85">
        <v>34</v>
      </c>
      <c r="H14" s="85">
        <v>15</v>
      </c>
      <c r="I14" s="85">
        <v>14</v>
      </c>
    </row>
    <row r="15" spans="1:9" ht="18" customHeight="1">
      <c r="A15" s="226">
        <v>9</v>
      </c>
      <c r="B15" s="1915" t="s">
        <v>1649</v>
      </c>
      <c r="C15" s="1915"/>
      <c r="D15" s="1916"/>
      <c r="E15" s="85">
        <v>9191</v>
      </c>
      <c r="F15" s="85">
        <v>8621</v>
      </c>
      <c r="G15" s="85">
        <v>10130</v>
      </c>
      <c r="H15" s="85">
        <v>10040</v>
      </c>
      <c r="I15" s="85">
        <v>10017</v>
      </c>
    </row>
    <row r="16" spans="1:9" ht="18" customHeight="1">
      <c r="A16" s="226">
        <v>10</v>
      </c>
      <c r="B16" s="1915" t="s">
        <v>555</v>
      </c>
      <c r="C16" s="1915"/>
      <c r="D16" s="1916"/>
      <c r="E16" s="85">
        <v>38</v>
      </c>
      <c r="F16" s="85">
        <v>39</v>
      </c>
      <c r="G16" s="85">
        <v>50</v>
      </c>
      <c r="H16" s="85">
        <v>45</v>
      </c>
      <c r="I16" s="85">
        <v>48</v>
      </c>
    </row>
    <row r="17" spans="1:10" ht="52.5" customHeight="1">
      <c r="A17" s="226">
        <v>11</v>
      </c>
      <c r="B17" s="1919" t="s">
        <v>554</v>
      </c>
      <c r="C17" s="1919"/>
      <c r="D17" s="1920"/>
      <c r="E17" s="393" t="s">
        <v>857</v>
      </c>
      <c r="F17" s="393" t="s">
        <v>857</v>
      </c>
      <c r="G17" s="393" t="s">
        <v>857</v>
      </c>
      <c r="H17" s="1632" t="s">
        <v>1229</v>
      </c>
      <c r="I17" s="1632" t="s">
        <v>1229</v>
      </c>
    </row>
    <row r="18" spans="1:10" ht="18" customHeight="1">
      <c r="A18" s="226">
        <v>12</v>
      </c>
      <c r="B18" s="1915" t="s">
        <v>1365</v>
      </c>
      <c r="C18" s="1915"/>
      <c r="D18" s="1916"/>
      <c r="E18" s="85" t="s">
        <v>1229</v>
      </c>
      <c r="F18" s="85" t="s">
        <v>1229</v>
      </c>
      <c r="G18" s="85" t="s">
        <v>1229</v>
      </c>
      <c r="H18" s="85" t="s">
        <v>1229</v>
      </c>
      <c r="I18" s="492" t="s">
        <v>1229</v>
      </c>
    </row>
    <row r="19" spans="1:10" ht="18" customHeight="1">
      <c r="A19" s="469"/>
      <c r="B19" s="1965" t="s">
        <v>958</v>
      </c>
      <c r="C19" s="1965"/>
      <c r="D19" s="1966"/>
      <c r="E19" s="493">
        <f>SUM(E7:E18)</f>
        <v>14108</v>
      </c>
      <c r="F19" s="493">
        <f>SUM(F7:F18)</f>
        <v>13500</v>
      </c>
      <c r="G19" s="493">
        <f>SUM(G7:G18)</f>
        <v>14868</v>
      </c>
      <c r="H19" s="493">
        <f>SUM(H7:H18)</f>
        <v>14760</v>
      </c>
      <c r="I19" s="493">
        <f>SUM(I7:I18)</f>
        <v>14590</v>
      </c>
    </row>
    <row r="20" spans="1:10">
      <c r="F20" s="1008" t="s">
        <v>1446</v>
      </c>
      <c r="G20" s="1009" t="s">
        <v>1183</v>
      </c>
      <c r="H20" s="98"/>
      <c r="I20" s="98"/>
    </row>
    <row r="21" spans="1:10">
      <c r="F21" s="1009"/>
      <c r="G21" s="1009" t="s">
        <v>1184</v>
      </c>
      <c r="H21" s="98"/>
      <c r="I21" s="98"/>
    </row>
    <row r="22" spans="1:10">
      <c r="F22" s="1009"/>
      <c r="G22" s="1009" t="s">
        <v>371</v>
      </c>
      <c r="H22" s="98"/>
      <c r="I22" s="98"/>
    </row>
    <row r="23" spans="1:10">
      <c r="F23" s="1009"/>
      <c r="G23" s="1009" t="s">
        <v>1185</v>
      </c>
      <c r="H23" s="98"/>
      <c r="I23" s="98"/>
    </row>
    <row r="24" spans="1:10">
      <c r="F24" s="1009"/>
      <c r="G24" s="1009" t="s">
        <v>1187</v>
      </c>
      <c r="H24" s="98"/>
      <c r="I24" s="98"/>
    </row>
    <row r="25" spans="1:10">
      <c r="F25" s="1009"/>
      <c r="G25" s="1009" t="s">
        <v>1188</v>
      </c>
      <c r="H25" s="98"/>
      <c r="I25" s="98"/>
      <c r="J25" s="50"/>
    </row>
    <row r="26" spans="1:10">
      <c r="F26" s="1009"/>
      <c r="G26" s="1017" t="s">
        <v>1476</v>
      </c>
      <c r="H26" s="102"/>
      <c r="I26" s="102"/>
    </row>
    <row r="27" spans="1:10">
      <c r="F27" s="1009"/>
      <c r="G27" s="1009" t="s">
        <v>1189</v>
      </c>
      <c r="H27" s="98"/>
      <c r="I27" s="98"/>
    </row>
    <row r="28" spans="1:10">
      <c r="F28" s="1009"/>
      <c r="G28" s="1009" t="s">
        <v>869</v>
      </c>
      <c r="H28" s="98"/>
      <c r="I28" s="98"/>
    </row>
  </sheetData>
  <mergeCells count="18">
    <mergeCell ref="B15:D15"/>
    <mergeCell ref="B16:D16"/>
    <mergeCell ref="A1:I1"/>
    <mergeCell ref="B19:D19"/>
    <mergeCell ref="B12:D12"/>
    <mergeCell ref="B8:D8"/>
    <mergeCell ref="A2:I2"/>
    <mergeCell ref="A6:D6"/>
    <mergeCell ref="B7:D7"/>
    <mergeCell ref="B9:D9"/>
    <mergeCell ref="B10:D10"/>
    <mergeCell ref="B18:D18"/>
    <mergeCell ref="A4:D5"/>
    <mergeCell ref="E4:I4"/>
    <mergeCell ref="B11:D11"/>
    <mergeCell ref="B17:D17"/>
    <mergeCell ref="B13:D13"/>
    <mergeCell ref="B14:D14"/>
  </mergeCells>
  <phoneticPr fontId="0" type="noConversion"/>
  <conditionalFormatting sqref="A1:XFD1048576">
    <cfRule type="cellIs" dxfId="20" priority="1" stopIfTrue="1" operator="equal">
      <formula>".."</formula>
    </cfRule>
  </conditionalFormatting>
  <printOptions horizontalCentered="1"/>
  <pageMargins left="0.1" right="0.1" top="0.85" bottom="0.1" header="0.5" footer="0.14000000000000001"/>
  <pageSetup paperSize="9" orientation="landscape" blackAndWhite="1" r:id="rId1"/>
  <headerFooter alignWithMargins="0"/>
</worksheet>
</file>

<file path=xl/worksheets/sheet37.xml><?xml version="1.0" encoding="utf-8"?>
<worksheet xmlns="http://schemas.openxmlformats.org/spreadsheetml/2006/main" xmlns:r="http://schemas.openxmlformats.org/officeDocument/2006/relationships">
  <dimension ref="A1:AB57"/>
  <sheetViews>
    <sheetView topLeftCell="M28" workbookViewId="0">
      <selection activeCell="J11" sqref="J11"/>
    </sheetView>
  </sheetViews>
  <sheetFormatPr defaultRowHeight="12.75"/>
  <cols>
    <col min="1" max="1" width="22.28515625" style="10" customWidth="1"/>
    <col min="2" max="13" width="8.85546875" style="10" customWidth="1"/>
    <col min="14" max="14" width="3.28515625" style="10" hidden="1" customWidth="1"/>
    <col min="15" max="15" width="8.7109375" style="10" hidden="1" customWidth="1"/>
    <col min="16" max="16" width="21.7109375" style="10" customWidth="1"/>
    <col min="17" max="25" width="10.85546875" style="10" customWidth="1"/>
    <col min="26" max="16384" width="9.140625" style="10"/>
  </cols>
  <sheetData>
    <row r="1" spans="1:28">
      <c r="A1" s="1899" t="s">
        <v>307</v>
      </c>
      <c r="B1" s="1899"/>
      <c r="C1" s="1899"/>
      <c r="D1" s="1899"/>
      <c r="E1" s="1899"/>
      <c r="F1" s="1899"/>
      <c r="G1" s="1899"/>
      <c r="H1" s="1899"/>
      <c r="I1" s="1899"/>
      <c r="J1" s="1899"/>
      <c r="K1" s="1899"/>
      <c r="L1" s="1899"/>
      <c r="M1" s="1899"/>
      <c r="N1" s="1971">
        <v>32</v>
      </c>
      <c r="O1" s="558"/>
      <c r="P1" s="558"/>
      <c r="Q1" s="558"/>
      <c r="R1" s="558"/>
      <c r="S1" s="558"/>
      <c r="T1" s="558"/>
      <c r="U1" s="558"/>
      <c r="V1" s="558"/>
      <c r="W1" s="558"/>
      <c r="X1" s="558"/>
      <c r="Y1" s="558"/>
      <c r="Z1" s="558"/>
      <c r="AA1" s="558"/>
      <c r="AB1" s="558"/>
    </row>
    <row r="2" spans="1:28" ht="19.5" customHeight="1">
      <c r="A2" s="1975" t="str">
        <f>CONCATENATE("Institutions, Students &amp; Teachers by Block &amp; Municipality in the district of ",District!A1," for the year ",District!F3)</f>
        <v>Institutions, Students &amp; Teachers by Block &amp; Municipality in the district of South 24-Parganas for the year 2013-14</v>
      </c>
      <c r="B2" s="1975"/>
      <c r="C2" s="1975"/>
      <c r="D2" s="1975"/>
      <c r="E2" s="1975"/>
      <c r="F2" s="1975"/>
      <c r="G2" s="1975"/>
      <c r="H2" s="1975"/>
      <c r="I2" s="1975"/>
      <c r="J2" s="1975"/>
      <c r="K2" s="1975"/>
      <c r="L2" s="1975"/>
      <c r="M2" s="1975"/>
      <c r="N2" s="1971"/>
      <c r="O2" s="565"/>
      <c r="P2" s="1899" t="s">
        <v>1103</v>
      </c>
      <c r="Q2" s="1899"/>
      <c r="R2" s="1899"/>
      <c r="S2" s="1899"/>
      <c r="T2" s="1899"/>
      <c r="U2" s="1899"/>
      <c r="V2" s="1899"/>
      <c r="W2" s="1899"/>
      <c r="X2" s="1899"/>
      <c r="Y2" s="1899"/>
    </row>
    <row r="3" spans="1:28" ht="13.5" customHeight="1">
      <c r="M3" s="94" t="s">
        <v>977</v>
      </c>
      <c r="N3" s="1971"/>
      <c r="O3" s="94"/>
      <c r="Y3" s="94" t="s">
        <v>977</v>
      </c>
    </row>
    <row r="4" spans="1:28" ht="28.5" customHeight="1">
      <c r="A4" s="1737" t="s">
        <v>1457</v>
      </c>
      <c r="B4" s="1972" t="s">
        <v>752</v>
      </c>
      <c r="C4" s="1972"/>
      <c r="D4" s="1973"/>
      <c r="E4" s="1972" t="s">
        <v>753</v>
      </c>
      <c r="F4" s="1972"/>
      <c r="G4" s="1973"/>
      <c r="H4" s="1974" t="s">
        <v>754</v>
      </c>
      <c r="I4" s="1972"/>
      <c r="J4" s="1973"/>
      <c r="K4" s="1974" t="s">
        <v>755</v>
      </c>
      <c r="L4" s="1972"/>
      <c r="M4" s="1973"/>
      <c r="N4" s="1971"/>
      <c r="O4" s="112"/>
      <c r="P4" s="1737" t="s">
        <v>1457</v>
      </c>
      <c r="Q4" s="1968" t="s">
        <v>309</v>
      </c>
      <c r="R4" s="1969"/>
      <c r="S4" s="1970"/>
      <c r="T4" s="1968" t="s">
        <v>308</v>
      </c>
      <c r="U4" s="1969"/>
      <c r="V4" s="1970"/>
      <c r="W4" s="1974" t="s">
        <v>1285</v>
      </c>
      <c r="X4" s="1972"/>
      <c r="Y4" s="1973"/>
    </row>
    <row r="5" spans="1:28" ht="16.5" customHeight="1">
      <c r="A5" s="1738"/>
      <c r="B5" s="143" t="s">
        <v>238</v>
      </c>
      <c r="C5" s="142" t="s">
        <v>239</v>
      </c>
      <c r="D5" s="341" t="s">
        <v>240</v>
      </c>
      <c r="E5" s="143" t="s">
        <v>238</v>
      </c>
      <c r="F5" s="142" t="s">
        <v>239</v>
      </c>
      <c r="G5" s="341" t="s">
        <v>240</v>
      </c>
      <c r="H5" s="140" t="s">
        <v>238</v>
      </c>
      <c r="I5" s="142" t="s">
        <v>239</v>
      </c>
      <c r="J5" s="341" t="s">
        <v>240</v>
      </c>
      <c r="K5" s="140" t="s">
        <v>238</v>
      </c>
      <c r="L5" s="142" t="s">
        <v>239</v>
      </c>
      <c r="M5" s="341" t="s">
        <v>240</v>
      </c>
      <c r="N5" s="1971"/>
      <c r="O5" s="336"/>
      <c r="P5" s="1738"/>
      <c r="Q5" s="140" t="s">
        <v>238</v>
      </c>
      <c r="R5" s="142" t="s">
        <v>239</v>
      </c>
      <c r="S5" s="341" t="s">
        <v>240</v>
      </c>
      <c r="T5" s="140" t="s">
        <v>238</v>
      </c>
      <c r="U5" s="142" t="s">
        <v>239</v>
      </c>
      <c r="V5" s="341" t="s">
        <v>240</v>
      </c>
      <c r="W5" s="143" t="s">
        <v>238</v>
      </c>
      <c r="X5" s="142" t="s">
        <v>239</v>
      </c>
      <c r="Y5" s="341" t="s">
        <v>240</v>
      </c>
    </row>
    <row r="6" spans="1:28" ht="14.25" customHeight="1">
      <c r="A6" s="199" t="s">
        <v>928</v>
      </c>
      <c r="B6" s="119" t="s">
        <v>929</v>
      </c>
      <c r="C6" s="199" t="s">
        <v>930</v>
      </c>
      <c r="D6" s="120" t="s">
        <v>931</v>
      </c>
      <c r="E6" s="119" t="s">
        <v>932</v>
      </c>
      <c r="F6" s="199" t="s">
        <v>933</v>
      </c>
      <c r="G6" s="120" t="s">
        <v>934</v>
      </c>
      <c r="H6" s="119" t="s">
        <v>959</v>
      </c>
      <c r="I6" s="199" t="s">
        <v>960</v>
      </c>
      <c r="J6" s="120" t="s">
        <v>961</v>
      </c>
      <c r="K6" s="118" t="s">
        <v>962</v>
      </c>
      <c r="L6" s="199" t="s">
        <v>1037</v>
      </c>
      <c r="M6" s="120" t="s">
        <v>1038</v>
      </c>
      <c r="N6" s="1971"/>
      <c r="O6" s="574"/>
      <c r="P6" s="199" t="s">
        <v>928</v>
      </c>
      <c r="Q6" s="119" t="s">
        <v>1039</v>
      </c>
      <c r="R6" s="199" t="s">
        <v>1040</v>
      </c>
      <c r="S6" s="120" t="s">
        <v>1041</v>
      </c>
      <c r="T6" s="119" t="s">
        <v>1042</v>
      </c>
      <c r="U6" s="199" t="s">
        <v>1044</v>
      </c>
      <c r="V6" s="120" t="s">
        <v>1043</v>
      </c>
      <c r="W6" s="119" t="s">
        <v>1286</v>
      </c>
      <c r="X6" s="199" t="s">
        <v>1288</v>
      </c>
      <c r="Y6" s="120" t="s">
        <v>1289</v>
      </c>
    </row>
    <row r="7" spans="1:28" ht="18.75" customHeight="1">
      <c r="A7" s="387" t="s">
        <v>1734</v>
      </c>
      <c r="B7" s="1345" t="s">
        <v>857</v>
      </c>
      <c r="C7" s="1346" t="s">
        <v>857</v>
      </c>
      <c r="D7" s="1347" t="s">
        <v>857</v>
      </c>
      <c r="E7" s="1345" t="s">
        <v>857</v>
      </c>
      <c r="F7" s="1346" t="s">
        <v>857</v>
      </c>
      <c r="G7" s="1347" t="s">
        <v>857</v>
      </c>
      <c r="H7" s="1345" t="s">
        <v>857</v>
      </c>
      <c r="I7" s="1346" t="s">
        <v>857</v>
      </c>
      <c r="J7" s="1348" t="s">
        <v>857</v>
      </c>
      <c r="K7" s="1349" t="s">
        <v>857</v>
      </c>
      <c r="L7" s="1350" t="s">
        <v>857</v>
      </c>
      <c r="M7" s="1348" t="s">
        <v>857</v>
      </c>
      <c r="N7" s="1971"/>
      <c r="O7" s="191"/>
      <c r="P7" s="387" t="s">
        <v>1734</v>
      </c>
      <c r="Q7" s="390">
        <v>11</v>
      </c>
      <c r="R7" s="389">
        <v>30240</v>
      </c>
      <c r="S7" s="388">
        <v>564</v>
      </c>
      <c r="T7" s="390">
        <v>5</v>
      </c>
      <c r="U7" s="389">
        <v>555</v>
      </c>
      <c r="V7" s="388">
        <v>59</v>
      </c>
      <c r="W7" s="390">
        <v>365</v>
      </c>
      <c r="X7" s="389">
        <v>13714</v>
      </c>
      <c r="Y7" s="388">
        <v>340</v>
      </c>
    </row>
    <row r="8" spans="1:28" ht="18.75" customHeight="1">
      <c r="A8" s="365" t="s">
        <v>24</v>
      </c>
      <c r="B8" s="170">
        <f>SUM(B9:B16)</f>
        <v>531</v>
      </c>
      <c r="C8" s="192">
        <f t="shared" ref="C8:Y8" si="0">SUM(C9:C16)</f>
        <v>53719</v>
      </c>
      <c r="D8" s="171">
        <f t="shared" si="0"/>
        <v>1767</v>
      </c>
      <c r="E8" s="170">
        <f t="shared" si="0"/>
        <v>34</v>
      </c>
      <c r="F8" s="192">
        <f t="shared" si="0"/>
        <v>4455</v>
      </c>
      <c r="G8" s="171">
        <f t="shared" si="0"/>
        <v>130</v>
      </c>
      <c r="H8" s="170">
        <f t="shared" si="0"/>
        <v>50</v>
      </c>
      <c r="I8" s="192">
        <f t="shared" si="0"/>
        <v>16471</v>
      </c>
      <c r="J8" s="171">
        <f t="shared" si="0"/>
        <v>373</v>
      </c>
      <c r="K8" s="367">
        <f t="shared" si="0"/>
        <v>91</v>
      </c>
      <c r="L8" s="192">
        <f t="shared" si="0"/>
        <v>66813</v>
      </c>
      <c r="M8" s="171">
        <f t="shared" si="0"/>
        <v>1331</v>
      </c>
      <c r="N8" s="1971"/>
      <c r="O8" s="170"/>
      <c r="P8" s="365" t="s">
        <v>24</v>
      </c>
      <c r="Q8" s="170">
        <f>SUM(Q9:Q16)</f>
        <v>5</v>
      </c>
      <c r="R8" s="192">
        <f t="shared" si="0"/>
        <v>8122</v>
      </c>
      <c r="S8" s="171">
        <f t="shared" si="0"/>
        <v>134</v>
      </c>
      <c r="T8" s="170">
        <f t="shared" si="0"/>
        <v>6</v>
      </c>
      <c r="U8" s="192">
        <f t="shared" si="0"/>
        <v>3094</v>
      </c>
      <c r="V8" s="171">
        <f t="shared" si="0"/>
        <v>219</v>
      </c>
      <c r="W8" s="171">
        <f t="shared" si="0"/>
        <v>1379</v>
      </c>
      <c r="X8" s="192">
        <f t="shared" si="0"/>
        <v>53429</v>
      </c>
      <c r="Y8" s="171">
        <f t="shared" si="0"/>
        <v>1557</v>
      </c>
    </row>
    <row r="9" spans="1:28" ht="18.75" customHeight="1">
      <c r="A9" s="391" t="s">
        <v>757</v>
      </c>
      <c r="B9" s="370">
        <v>56</v>
      </c>
      <c r="C9" s="392">
        <v>6668</v>
      </c>
      <c r="D9" s="374">
        <v>231</v>
      </c>
      <c r="E9" s="370">
        <v>1</v>
      </c>
      <c r="F9" s="392">
        <v>109</v>
      </c>
      <c r="G9" s="374">
        <v>5</v>
      </c>
      <c r="H9" s="372">
        <v>7</v>
      </c>
      <c r="I9" s="393">
        <v>2152</v>
      </c>
      <c r="J9" s="394">
        <v>48</v>
      </c>
      <c r="K9" s="373">
        <v>11</v>
      </c>
      <c r="L9" s="393">
        <v>8853</v>
      </c>
      <c r="M9" s="394">
        <v>253</v>
      </c>
      <c r="N9" s="1971"/>
      <c r="O9" s="372"/>
      <c r="P9" s="391" t="s">
        <v>757</v>
      </c>
      <c r="Q9" s="372" t="s">
        <v>1229</v>
      </c>
      <c r="R9" s="393" t="s">
        <v>1229</v>
      </c>
      <c r="S9" s="394" t="s">
        <v>1229</v>
      </c>
      <c r="T9" s="712">
        <v>1</v>
      </c>
      <c r="U9" s="711">
        <v>946</v>
      </c>
      <c r="V9" s="1528">
        <v>88</v>
      </c>
      <c r="W9" s="372">
        <v>209</v>
      </c>
      <c r="X9" s="393">
        <v>10292</v>
      </c>
      <c r="Y9" s="374">
        <v>255</v>
      </c>
    </row>
    <row r="10" spans="1:28" ht="18.75" customHeight="1">
      <c r="A10" s="391" t="s">
        <v>1214</v>
      </c>
      <c r="B10" s="372">
        <v>108</v>
      </c>
      <c r="C10" s="392">
        <v>10318</v>
      </c>
      <c r="D10" s="374">
        <v>356</v>
      </c>
      <c r="E10" s="370">
        <v>17</v>
      </c>
      <c r="F10" s="392">
        <v>1936</v>
      </c>
      <c r="G10" s="374">
        <v>69</v>
      </c>
      <c r="H10" s="372">
        <v>5</v>
      </c>
      <c r="I10" s="393">
        <v>1188</v>
      </c>
      <c r="J10" s="374">
        <v>33</v>
      </c>
      <c r="K10" s="395">
        <v>13</v>
      </c>
      <c r="L10" s="392">
        <v>10586</v>
      </c>
      <c r="M10" s="374">
        <v>169</v>
      </c>
      <c r="N10" s="1971"/>
      <c r="O10" s="370"/>
      <c r="P10" s="391" t="s">
        <v>1214</v>
      </c>
      <c r="Q10" s="372" t="s">
        <v>1229</v>
      </c>
      <c r="R10" s="393" t="s">
        <v>1229</v>
      </c>
      <c r="S10" s="394" t="s">
        <v>1229</v>
      </c>
      <c r="T10" s="712">
        <v>3</v>
      </c>
      <c r="U10" s="711">
        <v>1806</v>
      </c>
      <c r="V10" s="1528">
        <v>102</v>
      </c>
      <c r="W10" s="370">
        <v>337</v>
      </c>
      <c r="X10" s="392">
        <v>11557</v>
      </c>
      <c r="Y10" s="374">
        <v>321</v>
      </c>
    </row>
    <row r="11" spans="1:28" ht="18.75" customHeight="1">
      <c r="A11" s="396" t="s">
        <v>1211</v>
      </c>
      <c r="B11" s="372">
        <v>107</v>
      </c>
      <c r="C11" s="393">
        <v>9223</v>
      </c>
      <c r="D11" s="394">
        <v>334</v>
      </c>
      <c r="E11" s="372">
        <v>3</v>
      </c>
      <c r="F11" s="392">
        <v>504</v>
      </c>
      <c r="G11" s="394">
        <v>10</v>
      </c>
      <c r="H11" s="372">
        <v>11</v>
      </c>
      <c r="I11" s="393">
        <v>5356</v>
      </c>
      <c r="J11" s="394">
        <v>102</v>
      </c>
      <c r="K11" s="395">
        <v>12</v>
      </c>
      <c r="L11" s="392">
        <v>10584</v>
      </c>
      <c r="M11" s="374">
        <v>202</v>
      </c>
      <c r="N11" s="1971"/>
      <c r="O11" s="370"/>
      <c r="P11" s="396" t="s">
        <v>1211</v>
      </c>
      <c r="Q11" s="712">
        <v>1</v>
      </c>
      <c r="R11" s="711">
        <v>2281</v>
      </c>
      <c r="S11" s="1528">
        <v>20</v>
      </c>
      <c r="T11" s="712">
        <v>1</v>
      </c>
      <c r="U11" s="711">
        <v>199</v>
      </c>
      <c r="V11" s="1528">
        <v>14</v>
      </c>
      <c r="W11" s="370">
        <v>320</v>
      </c>
      <c r="X11" s="392">
        <v>11561</v>
      </c>
      <c r="Y11" s="374">
        <v>391</v>
      </c>
    </row>
    <row r="12" spans="1:28" ht="18.75" customHeight="1">
      <c r="A12" s="396" t="s">
        <v>1212</v>
      </c>
      <c r="B12" s="372">
        <v>41</v>
      </c>
      <c r="C12" s="393">
        <v>3323</v>
      </c>
      <c r="D12" s="394">
        <v>114</v>
      </c>
      <c r="E12" s="370">
        <v>1</v>
      </c>
      <c r="F12" s="392">
        <v>182</v>
      </c>
      <c r="G12" s="374">
        <v>5</v>
      </c>
      <c r="H12" s="372">
        <v>2</v>
      </c>
      <c r="I12" s="393">
        <v>460</v>
      </c>
      <c r="J12" s="394">
        <v>14</v>
      </c>
      <c r="K12" s="395">
        <v>10</v>
      </c>
      <c r="L12" s="392">
        <v>6750</v>
      </c>
      <c r="M12" s="374">
        <v>134</v>
      </c>
      <c r="N12" s="1971"/>
      <c r="O12" s="370"/>
      <c r="P12" s="396" t="s">
        <v>1212</v>
      </c>
      <c r="Q12" s="372" t="s">
        <v>1229</v>
      </c>
      <c r="R12" s="393" t="s">
        <v>1229</v>
      </c>
      <c r="S12" s="394" t="s">
        <v>1229</v>
      </c>
      <c r="T12" s="372" t="s">
        <v>1229</v>
      </c>
      <c r="U12" s="393" t="s">
        <v>1229</v>
      </c>
      <c r="V12" s="394" t="s">
        <v>1229</v>
      </c>
      <c r="W12" s="372">
        <v>262</v>
      </c>
      <c r="X12" s="393">
        <v>11170</v>
      </c>
      <c r="Y12" s="394">
        <v>313</v>
      </c>
    </row>
    <row r="13" spans="1:28" ht="18.75" customHeight="1">
      <c r="A13" s="396" t="s">
        <v>1213</v>
      </c>
      <c r="B13" s="372">
        <v>93</v>
      </c>
      <c r="C13" s="393">
        <v>7945</v>
      </c>
      <c r="D13" s="394">
        <v>276</v>
      </c>
      <c r="E13" s="372">
        <v>7</v>
      </c>
      <c r="F13" s="392">
        <v>767</v>
      </c>
      <c r="G13" s="394">
        <v>22</v>
      </c>
      <c r="H13" s="372">
        <v>10</v>
      </c>
      <c r="I13" s="393">
        <v>3196</v>
      </c>
      <c r="J13" s="394">
        <v>76</v>
      </c>
      <c r="K13" s="395">
        <v>14</v>
      </c>
      <c r="L13" s="392">
        <v>9329</v>
      </c>
      <c r="M13" s="374">
        <v>210</v>
      </c>
      <c r="N13" s="1971"/>
      <c r="O13" s="370"/>
      <c r="P13" s="396" t="s">
        <v>1213</v>
      </c>
      <c r="Q13" s="712">
        <v>1</v>
      </c>
      <c r="R13" s="711">
        <v>1429</v>
      </c>
      <c r="S13" s="1528">
        <v>38</v>
      </c>
      <c r="T13" s="372" t="s">
        <v>1229</v>
      </c>
      <c r="U13" s="393" t="s">
        <v>1229</v>
      </c>
      <c r="V13" s="394" t="s">
        <v>1229</v>
      </c>
      <c r="W13" s="372">
        <v>250</v>
      </c>
      <c r="X13" s="393">
        <v>8785</v>
      </c>
      <c r="Y13" s="394">
        <v>270</v>
      </c>
    </row>
    <row r="14" spans="1:28" ht="18.75" customHeight="1">
      <c r="A14" s="396" t="s">
        <v>1738</v>
      </c>
      <c r="B14" s="372">
        <v>24</v>
      </c>
      <c r="C14" s="393">
        <v>2542</v>
      </c>
      <c r="D14" s="394">
        <v>71</v>
      </c>
      <c r="E14" s="372">
        <v>3</v>
      </c>
      <c r="F14" s="392">
        <v>851</v>
      </c>
      <c r="G14" s="394">
        <v>14</v>
      </c>
      <c r="H14" s="372">
        <v>3</v>
      </c>
      <c r="I14" s="393">
        <v>628</v>
      </c>
      <c r="J14" s="394">
        <v>11</v>
      </c>
      <c r="K14" s="395">
        <v>6</v>
      </c>
      <c r="L14" s="392">
        <v>4255</v>
      </c>
      <c r="M14" s="374">
        <v>74</v>
      </c>
      <c r="N14" s="1971"/>
      <c r="O14" s="370"/>
      <c r="P14" s="396" t="s">
        <v>1738</v>
      </c>
      <c r="Q14" s="712">
        <v>1</v>
      </c>
      <c r="R14" s="711">
        <v>2557</v>
      </c>
      <c r="S14" s="1528">
        <v>27</v>
      </c>
      <c r="T14" s="712">
        <v>1</v>
      </c>
      <c r="U14" s="711">
        <v>143</v>
      </c>
      <c r="V14" s="1528">
        <v>15</v>
      </c>
      <c r="W14" s="1633" t="s">
        <v>1229</v>
      </c>
      <c r="X14" s="393" t="s">
        <v>1229</v>
      </c>
      <c r="Y14" s="394" t="s">
        <v>1229</v>
      </c>
    </row>
    <row r="15" spans="1:28" ht="18.75" customHeight="1">
      <c r="A15" s="396" t="s">
        <v>595</v>
      </c>
      <c r="B15" s="372">
        <v>86</v>
      </c>
      <c r="C15" s="393">
        <v>12218</v>
      </c>
      <c r="D15" s="394">
        <v>341</v>
      </c>
      <c r="E15" s="372">
        <v>1</v>
      </c>
      <c r="F15" s="392">
        <v>9</v>
      </c>
      <c r="G15" s="394">
        <v>2</v>
      </c>
      <c r="H15" s="372">
        <v>10</v>
      </c>
      <c r="I15" s="393">
        <v>3086</v>
      </c>
      <c r="J15" s="394">
        <v>74</v>
      </c>
      <c r="K15" s="395">
        <v>24</v>
      </c>
      <c r="L15" s="392">
        <v>15729</v>
      </c>
      <c r="M15" s="374">
        <v>277</v>
      </c>
      <c r="N15" s="1971"/>
      <c r="O15" s="370"/>
      <c r="P15" s="396" t="s">
        <v>1715</v>
      </c>
      <c r="Q15" s="712">
        <v>2</v>
      </c>
      <c r="R15" s="711">
        <v>1855</v>
      </c>
      <c r="S15" s="1528">
        <v>49</v>
      </c>
      <c r="T15" s="372" t="s">
        <v>1229</v>
      </c>
      <c r="U15" s="393" t="s">
        <v>1229</v>
      </c>
      <c r="V15" s="394" t="s">
        <v>1229</v>
      </c>
      <c r="W15" s="372" t="s">
        <v>1229</v>
      </c>
      <c r="X15" s="393" t="s">
        <v>1229</v>
      </c>
      <c r="Y15" s="394" t="s">
        <v>1229</v>
      </c>
    </row>
    <row r="16" spans="1:28" ht="18.75" customHeight="1">
      <c r="A16" s="396" t="s">
        <v>1740</v>
      </c>
      <c r="B16" s="372">
        <v>16</v>
      </c>
      <c r="C16" s="392">
        <v>1482</v>
      </c>
      <c r="D16" s="394">
        <v>44</v>
      </c>
      <c r="E16" s="393">
        <v>1</v>
      </c>
      <c r="F16" s="392">
        <v>97</v>
      </c>
      <c r="G16" s="393">
        <v>3</v>
      </c>
      <c r="H16" s="393">
        <v>2</v>
      </c>
      <c r="I16" s="393">
        <v>405</v>
      </c>
      <c r="J16" s="393">
        <v>15</v>
      </c>
      <c r="K16" s="393">
        <v>1</v>
      </c>
      <c r="L16" s="393">
        <v>727</v>
      </c>
      <c r="M16" s="394">
        <v>12</v>
      </c>
      <c r="N16" s="1971"/>
      <c r="O16" s="372"/>
      <c r="P16" s="396" t="s">
        <v>1740</v>
      </c>
      <c r="Q16" s="372" t="s">
        <v>1229</v>
      </c>
      <c r="R16" s="393" t="s">
        <v>1229</v>
      </c>
      <c r="S16" s="394" t="s">
        <v>1229</v>
      </c>
      <c r="T16" s="372" t="s">
        <v>1229</v>
      </c>
      <c r="U16" s="393" t="s">
        <v>1229</v>
      </c>
      <c r="V16" s="394" t="s">
        <v>1229</v>
      </c>
      <c r="W16" s="930">
        <v>1</v>
      </c>
      <c r="X16" s="916">
        <v>64</v>
      </c>
      <c r="Y16" s="1082">
        <v>7</v>
      </c>
    </row>
    <row r="17" spans="1:28" ht="18.75" customHeight="1">
      <c r="A17" s="365" t="s">
        <v>314</v>
      </c>
      <c r="B17" s="192">
        <f>SUM(B18:B27)</f>
        <v>883</v>
      </c>
      <c r="C17" s="171">
        <f t="shared" ref="C17:Y17" si="1">SUM(C18:C27)</f>
        <v>132649</v>
      </c>
      <c r="D17" s="171">
        <f t="shared" si="1"/>
        <v>3132</v>
      </c>
      <c r="E17" s="170">
        <f>SUM(E18:E27)</f>
        <v>65</v>
      </c>
      <c r="F17" s="192">
        <f>IF(SUM(F18:F27)=0,"..",SUM(F18:F27))</f>
        <v>8954</v>
      </c>
      <c r="G17" s="171">
        <f t="shared" si="1"/>
        <v>190</v>
      </c>
      <c r="H17" s="170">
        <f t="shared" si="1"/>
        <v>50</v>
      </c>
      <c r="I17" s="192">
        <f t="shared" si="1"/>
        <v>26443</v>
      </c>
      <c r="J17" s="171">
        <f t="shared" si="1"/>
        <v>430</v>
      </c>
      <c r="K17" s="367">
        <f t="shared" si="1"/>
        <v>128</v>
      </c>
      <c r="L17" s="192">
        <f t="shared" si="1"/>
        <v>129195</v>
      </c>
      <c r="M17" s="171">
        <f t="shared" si="1"/>
        <v>2260</v>
      </c>
      <c r="N17" s="1971"/>
      <c r="O17" s="170"/>
      <c r="P17" s="365" t="s">
        <v>314</v>
      </c>
      <c r="Q17" s="170">
        <f t="shared" si="1"/>
        <v>8</v>
      </c>
      <c r="R17" s="192">
        <f t="shared" si="1"/>
        <v>27657</v>
      </c>
      <c r="S17" s="171">
        <f t="shared" si="1"/>
        <v>276</v>
      </c>
      <c r="T17" s="170">
        <f t="shared" si="1"/>
        <v>7</v>
      </c>
      <c r="U17" s="192">
        <f t="shared" si="1"/>
        <v>6735</v>
      </c>
      <c r="V17" s="171">
        <f t="shared" si="1"/>
        <v>373</v>
      </c>
      <c r="W17" s="170">
        <f t="shared" si="1"/>
        <v>3116</v>
      </c>
      <c r="X17" s="192">
        <f t="shared" si="1"/>
        <v>138507</v>
      </c>
      <c r="Y17" s="171">
        <f t="shared" si="1"/>
        <v>3562</v>
      </c>
    </row>
    <row r="18" spans="1:28" ht="18.75" customHeight="1">
      <c r="A18" s="396" t="s">
        <v>1218</v>
      </c>
      <c r="B18" s="372">
        <v>86</v>
      </c>
      <c r="C18" s="393">
        <v>7131</v>
      </c>
      <c r="D18" s="394">
        <v>312</v>
      </c>
      <c r="E18" s="372">
        <v>8</v>
      </c>
      <c r="F18" s="392">
        <v>443</v>
      </c>
      <c r="G18" s="374">
        <v>21</v>
      </c>
      <c r="H18" s="372">
        <v>3</v>
      </c>
      <c r="I18" s="393">
        <v>1124</v>
      </c>
      <c r="J18" s="394">
        <v>24</v>
      </c>
      <c r="K18" s="395">
        <v>9</v>
      </c>
      <c r="L18" s="392">
        <v>6193</v>
      </c>
      <c r="M18" s="374">
        <v>154</v>
      </c>
      <c r="N18" s="1971"/>
      <c r="O18" s="370"/>
      <c r="P18" s="396" t="s">
        <v>1218</v>
      </c>
      <c r="Q18" s="372" t="s">
        <v>1229</v>
      </c>
      <c r="R18" s="393" t="s">
        <v>1229</v>
      </c>
      <c r="S18" s="394" t="s">
        <v>1229</v>
      </c>
      <c r="T18" s="712">
        <v>2</v>
      </c>
      <c r="U18" s="711">
        <v>2175</v>
      </c>
      <c r="V18" s="1528">
        <v>150</v>
      </c>
      <c r="W18" s="930">
        <v>533</v>
      </c>
      <c r="X18" s="916">
        <v>12513</v>
      </c>
      <c r="Y18" s="1082">
        <v>582</v>
      </c>
    </row>
    <row r="19" spans="1:28" ht="18.75" customHeight="1">
      <c r="A19" s="396" t="s">
        <v>759</v>
      </c>
      <c r="B19" s="372">
        <v>107</v>
      </c>
      <c r="C19" s="393">
        <v>16933</v>
      </c>
      <c r="D19" s="394">
        <v>383</v>
      </c>
      <c r="E19" s="372">
        <v>5</v>
      </c>
      <c r="F19" s="392">
        <v>442</v>
      </c>
      <c r="G19" s="394">
        <v>14</v>
      </c>
      <c r="H19" s="372">
        <v>9</v>
      </c>
      <c r="I19" s="393">
        <v>4427</v>
      </c>
      <c r="J19" s="394">
        <v>67</v>
      </c>
      <c r="K19" s="395">
        <v>14</v>
      </c>
      <c r="L19" s="392">
        <v>16343</v>
      </c>
      <c r="M19" s="374">
        <v>237</v>
      </c>
      <c r="N19" s="1971"/>
      <c r="O19" s="370"/>
      <c r="P19" s="396" t="s">
        <v>759</v>
      </c>
      <c r="Q19" s="712">
        <v>1</v>
      </c>
      <c r="R19" s="711">
        <v>8381</v>
      </c>
      <c r="S19" s="1528">
        <v>70</v>
      </c>
      <c r="T19" s="372" t="s">
        <v>1229</v>
      </c>
      <c r="U19" s="393" t="s">
        <v>1229</v>
      </c>
      <c r="V19" s="394" t="s">
        <v>1229</v>
      </c>
      <c r="W19" s="930">
        <v>460</v>
      </c>
      <c r="X19" s="916">
        <v>18579</v>
      </c>
      <c r="Y19" s="1082">
        <v>501</v>
      </c>
    </row>
    <row r="20" spans="1:28" ht="18.75" customHeight="1">
      <c r="A20" s="396" t="s">
        <v>760</v>
      </c>
      <c r="B20" s="372">
        <v>113</v>
      </c>
      <c r="C20" s="393">
        <v>19970</v>
      </c>
      <c r="D20" s="394">
        <v>307</v>
      </c>
      <c r="E20" s="372">
        <v>5</v>
      </c>
      <c r="F20" s="392">
        <v>920</v>
      </c>
      <c r="G20" s="394">
        <v>17</v>
      </c>
      <c r="H20" s="372">
        <v>7</v>
      </c>
      <c r="I20" s="393">
        <v>2603</v>
      </c>
      <c r="J20" s="394">
        <v>42</v>
      </c>
      <c r="K20" s="395">
        <v>11</v>
      </c>
      <c r="L20" s="392">
        <v>14447</v>
      </c>
      <c r="M20" s="374">
        <v>198</v>
      </c>
      <c r="N20" s="1971"/>
      <c r="O20" s="370"/>
      <c r="P20" s="396" t="s">
        <v>760</v>
      </c>
      <c r="Q20" s="372" t="s">
        <v>1229</v>
      </c>
      <c r="R20" s="393" t="s">
        <v>1229</v>
      </c>
      <c r="S20" s="394" t="s">
        <v>1229</v>
      </c>
      <c r="T20" s="372" t="s">
        <v>1229</v>
      </c>
      <c r="U20" s="393" t="s">
        <v>1229</v>
      </c>
      <c r="V20" s="394" t="s">
        <v>1229</v>
      </c>
      <c r="W20" s="930">
        <v>445</v>
      </c>
      <c r="X20" s="916">
        <v>20436</v>
      </c>
      <c r="Y20" s="1082">
        <v>467</v>
      </c>
    </row>
    <row r="21" spans="1:28" ht="18.75" customHeight="1">
      <c r="A21" s="396" t="s">
        <v>1194</v>
      </c>
      <c r="B21" s="372">
        <v>98</v>
      </c>
      <c r="C21" s="393">
        <v>16828</v>
      </c>
      <c r="D21" s="394">
        <v>244</v>
      </c>
      <c r="E21" s="372">
        <v>9</v>
      </c>
      <c r="F21" s="392">
        <v>2012</v>
      </c>
      <c r="G21" s="394">
        <v>30</v>
      </c>
      <c r="H21" s="372">
        <v>6</v>
      </c>
      <c r="I21" s="393">
        <v>5005</v>
      </c>
      <c r="J21" s="394">
        <v>58</v>
      </c>
      <c r="K21" s="395">
        <v>9</v>
      </c>
      <c r="L21" s="392">
        <v>10074</v>
      </c>
      <c r="M21" s="374">
        <v>136</v>
      </c>
      <c r="N21" s="1971"/>
      <c r="O21" s="370"/>
      <c r="P21" s="396" t="s">
        <v>1194</v>
      </c>
      <c r="Q21" s="712">
        <v>1</v>
      </c>
      <c r="R21" s="711">
        <v>949</v>
      </c>
      <c r="S21" s="1528">
        <v>21</v>
      </c>
      <c r="T21" s="372" t="s">
        <v>1229</v>
      </c>
      <c r="U21" s="393" t="s">
        <v>1229</v>
      </c>
      <c r="V21" s="394" t="s">
        <v>1229</v>
      </c>
      <c r="W21" s="930">
        <v>410</v>
      </c>
      <c r="X21" s="916">
        <v>19871</v>
      </c>
      <c r="Y21" s="1082">
        <v>438</v>
      </c>
    </row>
    <row r="22" spans="1:28" ht="18.75" customHeight="1">
      <c r="A22" s="396" t="s">
        <v>1221</v>
      </c>
      <c r="B22" s="372">
        <v>174</v>
      </c>
      <c r="C22" s="393">
        <v>23747</v>
      </c>
      <c r="D22" s="394">
        <v>653</v>
      </c>
      <c r="E22" s="372">
        <v>7</v>
      </c>
      <c r="F22" s="392">
        <v>638</v>
      </c>
      <c r="G22" s="394">
        <v>18</v>
      </c>
      <c r="H22" s="372">
        <v>5</v>
      </c>
      <c r="I22" s="393">
        <v>1811</v>
      </c>
      <c r="J22" s="394">
        <v>43</v>
      </c>
      <c r="K22" s="395">
        <v>26</v>
      </c>
      <c r="L22" s="392">
        <v>23152</v>
      </c>
      <c r="M22" s="374">
        <v>460</v>
      </c>
      <c r="N22" s="1971"/>
      <c r="O22" s="370"/>
      <c r="P22" s="396" t="s">
        <v>1221</v>
      </c>
      <c r="Q22" s="712">
        <v>3</v>
      </c>
      <c r="R22" s="711">
        <v>10027</v>
      </c>
      <c r="S22" s="1528">
        <v>76</v>
      </c>
      <c r="T22" s="372" t="s">
        <v>1229</v>
      </c>
      <c r="U22" s="393" t="s">
        <v>1229</v>
      </c>
      <c r="V22" s="394" t="s">
        <v>1229</v>
      </c>
      <c r="W22" s="930">
        <v>591</v>
      </c>
      <c r="X22" s="916">
        <v>26221</v>
      </c>
      <c r="Y22" s="1082">
        <v>692</v>
      </c>
    </row>
    <row r="23" spans="1:28" ht="18.75" customHeight="1">
      <c r="A23" s="396" t="s">
        <v>761</v>
      </c>
      <c r="B23" s="372">
        <v>99</v>
      </c>
      <c r="C23" s="393">
        <v>14098</v>
      </c>
      <c r="D23" s="394">
        <v>323</v>
      </c>
      <c r="E23" s="372">
        <v>15</v>
      </c>
      <c r="F23" s="392">
        <v>1502</v>
      </c>
      <c r="G23" s="394">
        <v>39</v>
      </c>
      <c r="H23" s="372">
        <v>3</v>
      </c>
      <c r="I23" s="393">
        <v>3165</v>
      </c>
      <c r="J23" s="394">
        <v>43</v>
      </c>
      <c r="K23" s="395">
        <v>14</v>
      </c>
      <c r="L23" s="392">
        <v>15054</v>
      </c>
      <c r="M23" s="374">
        <v>209</v>
      </c>
      <c r="N23" s="1971"/>
      <c r="O23" s="370"/>
      <c r="P23" s="396" t="s">
        <v>761</v>
      </c>
      <c r="Q23" s="712">
        <v>1</v>
      </c>
      <c r="R23" s="711">
        <v>5129</v>
      </c>
      <c r="S23" s="1528">
        <v>50</v>
      </c>
      <c r="T23" s="712">
        <v>1</v>
      </c>
      <c r="U23" s="711">
        <v>970</v>
      </c>
      <c r="V23" s="1528">
        <v>57</v>
      </c>
      <c r="W23" s="930">
        <v>357</v>
      </c>
      <c r="X23" s="916">
        <v>24291</v>
      </c>
      <c r="Y23" s="1082">
        <v>525</v>
      </c>
    </row>
    <row r="24" spans="1:28" ht="18.75" customHeight="1">
      <c r="A24" s="396" t="s">
        <v>762</v>
      </c>
      <c r="B24" s="372">
        <v>93</v>
      </c>
      <c r="C24" s="393">
        <v>15477</v>
      </c>
      <c r="D24" s="394">
        <v>268</v>
      </c>
      <c r="E24" s="372">
        <v>13</v>
      </c>
      <c r="F24" s="392">
        <v>2482</v>
      </c>
      <c r="G24" s="394">
        <v>38</v>
      </c>
      <c r="H24" s="372">
        <v>3</v>
      </c>
      <c r="I24" s="393">
        <v>2141</v>
      </c>
      <c r="J24" s="394">
        <v>24</v>
      </c>
      <c r="K24" s="395">
        <v>10</v>
      </c>
      <c r="L24" s="392">
        <v>13444</v>
      </c>
      <c r="M24" s="374">
        <v>219</v>
      </c>
      <c r="N24" s="1971"/>
      <c r="O24" s="370"/>
      <c r="P24" s="396" t="s">
        <v>762</v>
      </c>
      <c r="Q24" s="372" t="s">
        <v>1229</v>
      </c>
      <c r="R24" s="393" t="s">
        <v>1229</v>
      </c>
      <c r="S24" s="394" t="s">
        <v>1229</v>
      </c>
      <c r="T24" s="372" t="s">
        <v>1229</v>
      </c>
      <c r="U24" s="393" t="s">
        <v>1229</v>
      </c>
      <c r="V24" s="394" t="s">
        <v>1229</v>
      </c>
      <c r="W24" s="930">
        <v>318</v>
      </c>
      <c r="X24" s="916">
        <v>15965</v>
      </c>
      <c r="Y24" s="1082">
        <v>322</v>
      </c>
    </row>
    <row r="25" spans="1:28" ht="18.75" customHeight="1">
      <c r="A25" s="396" t="s">
        <v>836</v>
      </c>
      <c r="B25" s="372">
        <v>17</v>
      </c>
      <c r="C25" s="393">
        <v>2887</v>
      </c>
      <c r="D25" s="394">
        <v>71</v>
      </c>
      <c r="E25" s="372" t="s">
        <v>1229</v>
      </c>
      <c r="F25" s="392" t="s">
        <v>1229</v>
      </c>
      <c r="G25" s="394" t="s">
        <v>1229</v>
      </c>
      <c r="H25" s="372">
        <v>3</v>
      </c>
      <c r="I25" s="393">
        <v>1597</v>
      </c>
      <c r="J25" s="394">
        <v>26</v>
      </c>
      <c r="K25" s="395">
        <v>4</v>
      </c>
      <c r="L25" s="392">
        <v>3356</v>
      </c>
      <c r="M25" s="374">
        <v>63</v>
      </c>
      <c r="N25" s="1971"/>
      <c r="O25" s="370"/>
      <c r="P25" s="396" t="s">
        <v>836</v>
      </c>
      <c r="Q25" s="372" t="s">
        <v>1229</v>
      </c>
      <c r="R25" s="393" t="s">
        <v>1229</v>
      </c>
      <c r="S25" s="394" t="s">
        <v>1229</v>
      </c>
      <c r="T25" s="372" t="s">
        <v>1229</v>
      </c>
      <c r="U25" s="393" t="s">
        <v>1229</v>
      </c>
      <c r="V25" s="394" t="s">
        <v>1229</v>
      </c>
      <c r="W25" s="372" t="s">
        <v>1229</v>
      </c>
      <c r="X25" s="393" t="s">
        <v>1229</v>
      </c>
      <c r="Y25" s="394" t="s">
        <v>1229</v>
      </c>
    </row>
    <row r="26" spans="1:28" ht="18.75" customHeight="1">
      <c r="A26" s="396" t="s">
        <v>1742</v>
      </c>
      <c r="B26" s="372">
        <v>17</v>
      </c>
      <c r="C26" s="393">
        <v>2045</v>
      </c>
      <c r="D26" s="394">
        <v>78</v>
      </c>
      <c r="E26" s="372" t="s">
        <v>1229</v>
      </c>
      <c r="F26" s="392" t="s">
        <v>1229</v>
      </c>
      <c r="G26" s="394" t="s">
        <v>1229</v>
      </c>
      <c r="H26" s="372">
        <v>1</v>
      </c>
      <c r="I26" s="393">
        <v>696</v>
      </c>
      <c r="J26" s="394">
        <v>15</v>
      </c>
      <c r="K26" s="373">
        <v>3</v>
      </c>
      <c r="L26" s="393">
        <v>3318</v>
      </c>
      <c r="M26" s="394">
        <v>58</v>
      </c>
      <c r="N26" s="1971"/>
      <c r="O26" s="372"/>
      <c r="P26" s="396" t="s">
        <v>1742</v>
      </c>
      <c r="Q26" s="372" t="s">
        <v>1229</v>
      </c>
      <c r="R26" s="393" t="s">
        <v>1229</v>
      </c>
      <c r="S26" s="394" t="s">
        <v>1229</v>
      </c>
      <c r="T26" s="372" t="s">
        <v>1229</v>
      </c>
      <c r="U26" s="393" t="s">
        <v>1229</v>
      </c>
      <c r="V26" s="394" t="s">
        <v>1229</v>
      </c>
      <c r="W26" s="372" t="s">
        <v>1229</v>
      </c>
      <c r="X26" s="393" t="s">
        <v>1229</v>
      </c>
      <c r="Y26" s="394" t="s">
        <v>1229</v>
      </c>
    </row>
    <row r="27" spans="1:28" ht="18.75" customHeight="1">
      <c r="A27" s="440" t="s">
        <v>1743</v>
      </c>
      <c r="B27" s="380">
        <v>79</v>
      </c>
      <c r="C27" s="441">
        <v>13533</v>
      </c>
      <c r="D27" s="442">
        <v>493</v>
      </c>
      <c r="E27" s="441">
        <v>3</v>
      </c>
      <c r="F27" s="443">
        <v>515</v>
      </c>
      <c r="G27" s="444">
        <v>13</v>
      </c>
      <c r="H27" s="380">
        <v>10</v>
      </c>
      <c r="I27" s="441">
        <v>3874</v>
      </c>
      <c r="J27" s="442">
        <v>88</v>
      </c>
      <c r="K27" s="382">
        <v>28</v>
      </c>
      <c r="L27" s="441">
        <v>23814</v>
      </c>
      <c r="M27" s="442">
        <v>526</v>
      </c>
      <c r="N27" s="1971"/>
      <c r="O27" s="372"/>
      <c r="P27" s="440" t="s">
        <v>1743</v>
      </c>
      <c r="Q27" s="1529">
        <v>2</v>
      </c>
      <c r="R27" s="1530">
        <v>3171</v>
      </c>
      <c r="S27" s="1328">
        <v>59</v>
      </c>
      <c r="T27" s="714">
        <v>4</v>
      </c>
      <c r="U27" s="1530">
        <v>3590</v>
      </c>
      <c r="V27" s="1328">
        <v>166</v>
      </c>
      <c r="W27" s="1285">
        <v>2</v>
      </c>
      <c r="X27" s="1080">
        <v>631</v>
      </c>
      <c r="Y27" s="1081">
        <v>35</v>
      </c>
    </row>
    <row r="28" spans="1:28" ht="15.95" customHeight="1">
      <c r="A28" s="568"/>
      <c r="B28" s="372"/>
      <c r="C28" s="372"/>
      <c r="D28" s="372"/>
      <c r="E28" s="372"/>
      <c r="F28" s="370"/>
      <c r="G28" s="370"/>
      <c r="H28" s="372"/>
      <c r="I28" s="372"/>
      <c r="J28" s="372"/>
      <c r="K28" s="372"/>
      <c r="L28" s="372"/>
      <c r="M28" s="1187" t="s">
        <v>678</v>
      </c>
      <c r="N28" s="571"/>
      <c r="O28" s="372"/>
      <c r="P28" s="568"/>
      <c r="Q28" s="372"/>
      <c r="R28" s="372"/>
      <c r="S28" s="372"/>
      <c r="T28" s="372"/>
      <c r="U28" s="372"/>
      <c r="V28" s="372"/>
      <c r="W28" s="370"/>
      <c r="X28" s="372"/>
      <c r="Y28" s="1187" t="s">
        <v>678</v>
      </c>
    </row>
    <row r="29" spans="1:28" ht="14.25" customHeight="1">
      <c r="A29" s="1765" t="s">
        <v>1104</v>
      </c>
      <c r="B29" s="1765"/>
      <c r="C29" s="1765"/>
      <c r="D29" s="1765"/>
      <c r="E29" s="1765"/>
      <c r="F29" s="1765"/>
      <c r="G29" s="1765"/>
      <c r="H29" s="1765"/>
      <c r="I29" s="1765"/>
      <c r="J29" s="1765"/>
      <c r="K29" s="1765"/>
      <c r="L29" s="1765"/>
      <c r="M29" s="1765"/>
      <c r="N29" s="1971"/>
      <c r="O29" s="29"/>
      <c r="P29" s="1708" t="s">
        <v>1102</v>
      </c>
      <c r="Q29" s="1708"/>
      <c r="R29" s="1708"/>
      <c r="S29" s="1708"/>
      <c r="T29" s="1708"/>
      <c r="U29" s="1708"/>
      <c r="V29" s="1708"/>
      <c r="W29" s="1708"/>
      <c r="X29" s="1708"/>
      <c r="Y29" s="1708"/>
      <c r="Z29" s="567"/>
      <c r="AA29" s="558"/>
      <c r="AB29" s="558"/>
    </row>
    <row r="30" spans="1:28" ht="13.5" customHeight="1">
      <c r="A30" s="857" t="s">
        <v>631</v>
      </c>
      <c r="B30" s="573"/>
      <c r="C30" s="573"/>
      <c r="D30" s="573"/>
      <c r="E30" s="573"/>
      <c r="F30" s="573"/>
      <c r="G30" s="573"/>
      <c r="H30" s="573"/>
      <c r="I30" s="573"/>
      <c r="J30" s="573"/>
      <c r="K30" s="573"/>
      <c r="L30" s="573"/>
      <c r="M30" s="95" t="s">
        <v>977</v>
      </c>
      <c r="N30" s="1971"/>
      <c r="O30" s="92"/>
      <c r="P30" s="12"/>
      <c r="Q30" s="372"/>
      <c r="R30" s="372"/>
      <c r="S30" s="372"/>
      <c r="T30" s="372"/>
      <c r="U30" s="372"/>
      <c r="V30" s="372"/>
      <c r="W30" s="370"/>
      <c r="X30" s="372"/>
      <c r="Y30" s="92" t="s">
        <v>977</v>
      </c>
    </row>
    <row r="31" spans="1:28" ht="27" customHeight="1">
      <c r="A31" s="1737" t="s">
        <v>1457</v>
      </c>
      <c r="B31" s="1972" t="s">
        <v>752</v>
      </c>
      <c r="C31" s="1972"/>
      <c r="D31" s="1973"/>
      <c r="E31" s="1972" t="s">
        <v>753</v>
      </c>
      <c r="F31" s="1972"/>
      <c r="G31" s="1973"/>
      <c r="H31" s="1974" t="s">
        <v>754</v>
      </c>
      <c r="I31" s="1972"/>
      <c r="J31" s="1973"/>
      <c r="K31" s="1974" t="s">
        <v>755</v>
      </c>
      <c r="L31" s="1972"/>
      <c r="M31" s="1973"/>
      <c r="N31" s="1971"/>
      <c r="O31" s="112"/>
      <c r="P31" s="1737" t="s">
        <v>1457</v>
      </c>
      <c r="Q31" s="1968" t="s">
        <v>309</v>
      </c>
      <c r="R31" s="1969"/>
      <c r="S31" s="1970"/>
      <c r="T31" s="1968" t="s">
        <v>308</v>
      </c>
      <c r="U31" s="1969"/>
      <c r="V31" s="1970"/>
      <c r="W31" s="1974" t="s">
        <v>1285</v>
      </c>
      <c r="X31" s="1972"/>
      <c r="Y31" s="1973"/>
    </row>
    <row r="32" spans="1:28" ht="16.5" customHeight="1">
      <c r="A32" s="1738"/>
      <c r="B32" s="143" t="s">
        <v>238</v>
      </c>
      <c r="C32" s="142" t="s">
        <v>239</v>
      </c>
      <c r="D32" s="341" t="s">
        <v>240</v>
      </c>
      <c r="E32" s="143" t="s">
        <v>238</v>
      </c>
      <c r="F32" s="142" t="s">
        <v>239</v>
      </c>
      <c r="G32" s="341" t="s">
        <v>240</v>
      </c>
      <c r="H32" s="140" t="s">
        <v>238</v>
      </c>
      <c r="I32" s="142" t="s">
        <v>239</v>
      </c>
      <c r="J32" s="341" t="s">
        <v>240</v>
      </c>
      <c r="K32" s="140" t="s">
        <v>238</v>
      </c>
      <c r="L32" s="142" t="s">
        <v>239</v>
      </c>
      <c r="M32" s="341" t="s">
        <v>240</v>
      </c>
      <c r="N32" s="1971"/>
      <c r="O32" s="336"/>
      <c r="P32" s="1738"/>
      <c r="Q32" s="140" t="s">
        <v>238</v>
      </c>
      <c r="R32" s="142" t="s">
        <v>239</v>
      </c>
      <c r="S32" s="341" t="s">
        <v>240</v>
      </c>
      <c r="T32" s="140" t="s">
        <v>238</v>
      </c>
      <c r="U32" s="142" t="s">
        <v>239</v>
      </c>
      <c r="V32" s="341" t="s">
        <v>240</v>
      </c>
      <c r="W32" s="143" t="s">
        <v>238</v>
      </c>
      <c r="X32" s="142" t="s">
        <v>239</v>
      </c>
      <c r="Y32" s="341" t="s">
        <v>240</v>
      </c>
    </row>
    <row r="33" spans="1:25" ht="14.25" customHeight="1">
      <c r="A33" s="359" t="s">
        <v>928</v>
      </c>
      <c r="B33" s="360" t="s">
        <v>929</v>
      </c>
      <c r="C33" s="359" t="s">
        <v>930</v>
      </c>
      <c r="D33" s="364" t="s">
        <v>931</v>
      </c>
      <c r="E33" s="360" t="s">
        <v>932</v>
      </c>
      <c r="F33" s="359" t="s">
        <v>933</v>
      </c>
      <c r="G33" s="364" t="s">
        <v>934</v>
      </c>
      <c r="H33" s="360" t="s">
        <v>959</v>
      </c>
      <c r="I33" s="359" t="s">
        <v>960</v>
      </c>
      <c r="J33" s="364" t="s">
        <v>961</v>
      </c>
      <c r="K33" s="362" t="s">
        <v>962</v>
      </c>
      <c r="L33" s="359" t="s">
        <v>1037</v>
      </c>
      <c r="M33" s="364" t="s">
        <v>1038</v>
      </c>
      <c r="N33" s="1971"/>
      <c r="O33" s="574"/>
      <c r="P33" s="359" t="s">
        <v>928</v>
      </c>
      <c r="Q33" s="360" t="s">
        <v>1039</v>
      </c>
      <c r="R33" s="359" t="s">
        <v>1040</v>
      </c>
      <c r="S33" s="360" t="s">
        <v>1041</v>
      </c>
      <c r="T33" s="359" t="s">
        <v>1042</v>
      </c>
      <c r="U33" s="360" t="s">
        <v>1044</v>
      </c>
      <c r="V33" s="359" t="s">
        <v>1043</v>
      </c>
      <c r="W33" s="360" t="s">
        <v>1286</v>
      </c>
      <c r="X33" s="359" t="s">
        <v>1288</v>
      </c>
      <c r="Y33" s="364" t="s">
        <v>1289</v>
      </c>
    </row>
    <row r="34" spans="1:25" ht="19.5" customHeight="1">
      <c r="A34" s="365" t="s">
        <v>315</v>
      </c>
      <c r="B34" s="192">
        <f t="shared" ref="B34:H34" si="2">SUM(B35:B38)</f>
        <v>532</v>
      </c>
      <c r="C34" s="171">
        <f t="shared" si="2"/>
        <v>81697</v>
      </c>
      <c r="D34" s="171">
        <f t="shared" si="2"/>
        <v>1749</v>
      </c>
      <c r="E34" s="170">
        <f t="shared" si="2"/>
        <v>59</v>
      </c>
      <c r="F34" s="192">
        <f t="shared" si="2"/>
        <v>9181</v>
      </c>
      <c r="G34" s="171">
        <f t="shared" si="2"/>
        <v>128</v>
      </c>
      <c r="H34" s="171">
        <f t="shared" si="2"/>
        <v>29</v>
      </c>
      <c r="I34" s="192">
        <f t="shared" ref="I34:Y34" si="3">SUM(I35:I38)</f>
        <v>10515</v>
      </c>
      <c r="J34" s="192">
        <f t="shared" si="3"/>
        <v>181</v>
      </c>
      <c r="K34" s="367">
        <f t="shared" si="3"/>
        <v>55</v>
      </c>
      <c r="L34" s="192">
        <f t="shared" si="3"/>
        <v>57921</v>
      </c>
      <c r="M34" s="171">
        <f t="shared" si="3"/>
        <v>824</v>
      </c>
      <c r="N34" s="1971"/>
      <c r="O34" s="170"/>
      <c r="P34" s="365" t="s">
        <v>315</v>
      </c>
      <c r="Q34" s="170">
        <f t="shared" si="3"/>
        <v>4</v>
      </c>
      <c r="R34" s="192">
        <f t="shared" si="3"/>
        <v>5490</v>
      </c>
      <c r="S34" s="170">
        <f t="shared" si="3"/>
        <v>80</v>
      </c>
      <c r="T34" s="192">
        <v>1</v>
      </c>
      <c r="U34" s="1588" t="s">
        <v>1229</v>
      </c>
      <c r="V34" s="192" t="s">
        <v>1229</v>
      </c>
      <c r="W34" s="170">
        <f t="shared" si="3"/>
        <v>2105</v>
      </c>
      <c r="X34" s="192">
        <f t="shared" si="3"/>
        <v>96622</v>
      </c>
      <c r="Y34" s="171">
        <f t="shared" si="3"/>
        <v>2725</v>
      </c>
    </row>
    <row r="35" spans="1:25" ht="19.5" customHeight="1">
      <c r="A35" s="396" t="s">
        <v>1223</v>
      </c>
      <c r="B35" s="372">
        <v>119</v>
      </c>
      <c r="C35" s="393">
        <v>20202</v>
      </c>
      <c r="D35" s="394">
        <v>431</v>
      </c>
      <c r="E35" s="393">
        <v>16</v>
      </c>
      <c r="F35" s="393">
        <v>2046</v>
      </c>
      <c r="G35" s="392">
        <v>29</v>
      </c>
      <c r="H35" s="370">
        <v>3</v>
      </c>
      <c r="I35" s="393">
        <v>1984</v>
      </c>
      <c r="J35" s="394">
        <v>23</v>
      </c>
      <c r="K35" s="373">
        <v>13</v>
      </c>
      <c r="L35" s="393">
        <v>18525</v>
      </c>
      <c r="M35" s="394">
        <v>241</v>
      </c>
      <c r="N35" s="1971"/>
      <c r="O35" s="372"/>
      <c r="P35" s="396" t="s">
        <v>1223</v>
      </c>
      <c r="Q35" s="930">
        <v>1</v>
      </c>
      <c r="R35" s="916">
        <v>2495</v>
      </c>
      <c r="S35" s="916">
        <v>30</v>
      </c>
      <c r="T35" s="1563" t="s">
        <v>1229</v>
      </c>
      <c r="U35" s="392" t="s">
        <v>1229</v>
      </c>
      <c r="V35" s="1564" t="s">
        <v>1229</v>
      </c>
      <c r="W35" s="930">
        <v>535</v>
      </c>
      <c r="X35" s="916">
        <v>29795</v>
      </c>
      <c r="Y35" s="1082">
        <v>751</v>
      </c>
    </row>
    <row r="36" spans="1:25" ht="19.5" customHeight="1">
      <c r="A36" s="396" t="s">
        <v>1224</v>
      </c>
      <c r="B36" s="372">
        <v>93</v>
      </c>
      <c r="C36" s="393">
        <v>21368</v>
      </c>
      <c r="D36" s="394">
        <v>321</v>
      </c>
      <c r="E36" s="393">
        <v>9</v>
      </c>
      <c r="F36" s="393">
        <v>1218</v>
      </c>
      <c r="G36" s="392">
        <v>16</v>
      </c>
      <c r="H36" s="370">
        <v>1</v>
      </c>
      <c r="I36" s="393">
        <v>674</v>
      </c>
      <c r="J36" s="374">
        <v>12</v>
      </c>
      <c r="K36" s="395">
        <v>9</v>
      </c>
      <c r="L36" s="392">
        <v>11441</v>
      </c>
      <c r="M36" s="374">
        <v>150</v>
      </c>
      <c r="N36" s="1971"/>
      <c r="O36" s="370"/>
      <c r="P36" s="396" t="s">
        <v>1224</v>
      </c>
      <c r="Q36" s="930">
        <v>1</v>
      </c>
      <c r="R36" s="916">
        <v>506</v>
      </c>
      <c r="S36" s="930">
        <v>18</v>
      </c>
      <c r="T36" s="392" t="s">
        <v>1229</v>
      </c>
      <c r="U36" s="1563" t="s">
        <v>1229</v>
      </c>
      <c r="V36" s="392" t="s">
        <v>1229</v>
      </c>
      <c r="W36" s="930">
        <v>422</v>
      </c>
      <c r="X36" s="916">
        <v>23538</v>
      </c>
      <c r="Y36" s="1082">
        <v>527</v>
      </c>
    </row>
    <row r="37" spans="1:25" ht="19.5" customHeight="1">
      <c r="A37" s="396" t="s">
        <v>1197</v>
      </c>
      <c r="B37" s="372">
        <v>158</v>
      </c>
      <c r="C37" s="393">
        <v>24185</v>
      </c>
      <c r="D37" s="394">
        <v>502</v>
      </c>
      <c r="E37" s="393">
        <v>26</v>
      </c>
      <c r="F37" s="393">
        <v>4973</v>
      </c>
      <c r="G37" s="392">
        <v>53</v>
      </c>
      <c r="H37" s="370">
        <v>6</v>
      </c>
      <c r="I37" s="393">
        <v>2199</v>
      </c>
      <c r="J37" s="394">
        <v>43</v>
      </c>
      <c r="K37" s="373">
        <v>15</v>
      </c>
      <c r="L37" s="393">
        <v>16874</v>
      </c>
      <c r="M37" s="394">
        <v>258</v>
      </c>
      <c r="N37" s="1971"/>
      <c r="O37" s="372"/>
      <c r="P37" s="396" t="s">
        <v>1197</v>
      </c>
      <c r="Q37" s="930">
        <v>1</v>
      </c>
      <c r="R37" s="916">
        <v>814</v>
      </c>
      <c r="S37" s="930">
        <v>11</v>
      </c>
      <c r="T37" s="392" t="s">
        <v>1860</v>
      </c>
      <c r="U37" s="1563" t="s">
        <v>1229</v>
      </c>
      <c r="V37" s="392" t="s">
        <v>1229</v>
      </c>
      <c r="W37" s="930">
        <v>655</v>
      </c>
      <c r="X37" s="916">
        <v>29169</v>
      </c>
      <c r="Y37" s="1082">
        <v>888</v>
      </c>
    </row>
    <row r="38" spans="1:25" ht="19.5" customHeight="1">
      <c r="A38" s="396" t="s">
        <v>1198</v>
      </c>
      <c r="B38" s="372">
        <v>162</v>
      </c>
      <c r="C38" s="393">
        <v>15942</v>
      </c>
      <c r="D38" s="394">
        <v>495</v>
      </c>
      <c r="E38" s="393">
        <v>8</v>
      </c>
      <c r="F38" s="393">
        <v>944</v>
      </c>
      <c r="G38" s="392">
        <v>30</v>
      </c>
      <c r="H38" s="370">
        <v>19</v>
      </c>
      <c r="I38" s="392">
        <v>5658</v>
      </c>
      <c r="J38" s="374">
        <v>103</v>
      </c>
      <c r="K38" s="395">
        <v>18</v>
      </c>
      <c r="L38" s="392">
        <v>11081</v>
      </c>
      <c r="M38" s="374">
        <v>175</v>
      </c>
      <c r="N38" s="1971"/>
      <c r="O38" s="370"/>
      <c r="P38" s="396" t="s">
        <v>1198</v>
      </c>
      <c r="Q38" s="930">
        <v>1</v>
      </c>
      <c r="R38" s="916">
        <v>1675</v>
      </c>
      <c r="S38" s="930">
        <v>21</v>
      </c>
      <c r="T38" s="392" t="s">
        <v>1229</v>
      </c>
      <c r="U38" s="1563" t="s">
        <v>1229</v>
      </c>
      <c r="V38" s="392" t="s">
        <v>1229</v>
      </c>
      <c r="W38" s="930">
        <v>493</v>
      </c>
      <c r="X38" s="916">
        <v>14120</v>
      </c>
      <c r="Y38" s="1082">
        <v>559</v>
      </c>
    </row>
    <row r="39" spans="1:25" ht="19.5" customHeight="1">
      <c r="A39" s="365" t="s">
        <v>25</v>
      </c>
      <c r="B39" s="192">
        <f t="shared" ref="B39:G39" si="4">SUM(B40:B49)</f>
        <v>1212</v>
      </c>
      <c r="C39" s="171">
        <f t="shared" si="4"/>
        <v>116407</v>
      </c>
      <c r="D39" s="171">
        <f t="shared" si="4"/>
        <v>3380</v>
      </c>
      <c r="E39" s="192">
        <f t="shared" si="4"/>
        <v>61</v>
      </c>
      <c r="F39" s="192">
        <f t="shared" si="4"/>
        <v>6680</v>
      </c>
      <c r="G39" s="192">
        <f t="shared" si="4"/>
        <v>215</v>
      </c>
      <c r="H39" s="170">
        <f t="shared" ref="H39:Y39" si="5">SUM(H40:H49)</f>
        <v>98</v>
      </c>
      <c r="I39" s="192">
        <f>SUM(I40:I49)</f>
        <v>38470</v>
      </c>
      <c r="J39" s="171">
        <f>SUM(J40:J49)</f>
        <v>726</v>
      </c>
      <c r="K39" s="192">
        <f>SUM(K40:K49)</f>
        <v>145</v>
      </c>
      <c r="L39" s="192">
        <f>SUM(L40:L49)</f>
        <v>113147</v>
      </c>
      <c r="M39" s="171">
        <f t="shared" si="5"/>
        <v>1870</v>
      </c>
      <c r="N39" s="1971"/>
      <c r="O39" s="170"/>
      <c r="P39" s="365" t="s">
        <v>25</v>
      </c>
      <c r="Q39" s="192">
        <f t="shared" si="5"/>
        <v>7</v>
      </c>
      <c r="R39" s="192">
        <f t="shared" si="5"/>
        <v>20061</v>
      </c>
      <c r="S39" s="170">
        <f t="shared" si="5"/>
        <v>207</v>
      </c>
      <c r="T39" s="192">
        <f t="shared" si="5"/>
        <v>5</v>
      </c>
      <c r="U39" s="170">
        <f>SUM(U40:U49)</f>
        <v>1774</v>
      </c>
      <c r="V39" s="192">
        <f t="shared" si="5"/>
        <v>160</v>
      </c>
      <c r="W39" s="170">
        <f t="shared" si="5"/>
        <v>3140</v>
      </c>
      <c r="X39" s="192">
        <f t="shared" si="5"/>
        <v>137378</v>
      </c>
      <c r="Y39" s="171">
        <f t="shared" si="5"/>
        <v>3772</v>
      </c>
    </row>
    <row r="40" spans="1:25" ht="19.5" customHeight="1">
      <c r="A40" s="396" t="s">
        <v>1225</v>
      </c>
      <c r="B40" s="372">
        <v>113</v>
      </c>
      <c r="C40" s="393">
        <v>14410</v>
      </c>
      <c r="D40" s="394">
        <v>369</v>
      </c>
      <c r="E40" s="393">
        <v>6</v>
      </c>
      <c r="F40" s="393">
        <v>1180</v>
      </c>
      <c r="G40" s="392">
        <v>27</v>
      </c>
      <c r="H40" s="370">
        <v>7</v>
      </c>
      <c r="I40" s="393">
        <v>3999</v>
      </c>
      <c r="J40" s="394">
        <v>69</v>
      </c>
      <c r="K40" s="393">
        <v>19</v>
      </c>
      <c r="L40" s="392">
        <v>18714</v>
      </c>
      <c r="M40" s="394">
        <v>291</v>
      </c>
      <c r="N40" s="1971"/>
      <c r="O40" s="372"/>
      <c r="P40" s="396" t="s">
        <v>1225</v>
      </c>
      <c r="Q40" s="930">
        <v>1</v>
      </c>
      <c r="R40" s="916">
        <v>496</v>
      </c>
      <c r="S40" s="930">
        <v>9</v>
      </c>
      <c r="T40" s="392" t="s">
        <v>1229</v>
      </c>
      <c r="U40" s="1563" t="s">
        <v>1229</v>
      </c>
      <c r="V40" s="392" t="s">
        <v>1229</v>
      </c>
      <c r="W40" s="930">
        <v>323</v>
      </c>
      <c r="X40" s="916">
        <v>19017</v>
      </c>
      <c r="Y40" s="1082">
        <v>382</v>
      </c>
    </row>
    <row r="41" spans="1:25" ht="19.5" customHeight="1">
      <c r="A41" s="396" t="s">
        <v>1226</v>
      </c>
      <c r="B41" s="372">
        <v>135</v>
      </c>
      <c r="C41" s="393">
        <v>17370</v>
      </c>
      <c r="D41" s="394">
        <v>446</v>
      </c>
      <c r="E41" s="393">
        <v>1</v>
      </c>
      <c r="F41" s="393">
        <v>113</v>
      </c>
      <c r="G41" s="392">
        <v>3</v>
      </c>
      <c r="H41" s="370">
        <v>7</v>
      </c>
      <c r="I41" s="393">
        <v>3390</v>
      </c>
      <c r="J41" s="394">
        <v>62</v>
      </c>
      <c r="K41" s="393">
        <v>17</v>
      </c>
      <c r="L41" s="392">
        <v>18535</v>
      </c>
      <c r="M41" s="394">
        <v>317</v>
      </c>
      <c r="N41" s="1971"/>
      <c r="O41" s="372"/>
      <c r="P41" s="396" t="s">
        <v>1226</v>
      </c>
      <c r="Q41" s="930">
        <v>1</v>
      </c>
      <c r="R41" s="916">
        <v>3527</v>
      </c>
      <c r="S41" s="930">
        <v>26</v>
      </c>
      <c r="T41" s="392" t="s">
        <v>1229</v>
      </c>
      <c r="U41" s="1563" t="s">
        <v>1229</v>
      </c>
      <c r="V41" s="392" t="s">
        <v>1229</v>
      </c>
      <c r="W41" s="930">
        <v>427</v>
      </c>
      <c r="X41" s="916">
        <v>18088</v>
      </c>
      <c r="Y41" s="1082">
        <v>453</v>
      </c>
    </row>
    <row r="42" spans="1:25" ht="19.5" customHeight="1">
      <c r="A42" s="396" t="s">
        <v>837</v>
      </c>
      <c r="B42" s="372">
        <v>131</v>
      </c>
      <c r="C42" s="393">
        <v>12731</v>
      </c>
      <c r="D42" s="394">
        <v>351</v>
      </c>
      <c r="E42" s="393">
        <v>10</v>
      </c>
      <c r="F42" s="393">
        <v>1402</v>
      </c>
      <c r="G42" s="392">
        <v>52</v>
      </c>
      <c r="H42" s="370">
        <v>12</v>
      </c>
      <c r="I42" s="393">
        <v>5265</v>
      </c>
      <c r="J42" s="394">
        <v>86</v>
      </c>
      <c r="K42" s="393">
        <v>12</v>
      </c>
      <c r="L42" s="392">
        <v>7691</v>
      </c>
      <c r="M42" s="394">
        <v>115</v>
      </c>
      <c r="N42" s="1971"/>
      <c r="O42" s="372"/>
      <c r="P42" s="396" t="s">
        <v>837</v>
      </c>
      <c r="Q42" s="930">
        <v>1</v>
      </c>
      <c r="R42" s="916">
        <v>6431</v>
      </c>
      <c r="S42" s="930">
        <v>18</v>
      </c>
      <c r="T42" s="392" t="s">
        <v>1229</v>
      </c>
      <c r="U42" s="1563" t="s">
        <v>1229</v>
      </c>
      <c r="V42" s="392" t="s">
        <v>1229</v>
      </c>
      <c r="W42" s="930">
        <v>291</v>
      </c>
      <c r="X42" s="916">
        <v>12852</v>
      </c>
      <c r="Y42" s="1082">
        <v>332</v>
      </c>
    </row>
    <row r="43" spans="1:25" ht="19.5" customHeight="1">
      <c r="A43" s="396" t="s">
        <v>1203</v>
      </c>
      <c r="B43" s="372">
        <v>208</v>
      </c>
      <c r="C43" s="393">
        <v>18284</v>
      </c>
      <c r="D43" s="394">
        <v>489</v>
      </c>
      <c r="E43" s="393">
        <v>5</v>
      </c>
      <c r="F43" s="393">
        <v>676</v>
      </c>
      <c r="G43" s="392">
        <v>15</v>
      </c>
      <c r="H43" s="370">
        <v>15</v>
      </c>
      <c r="I43" s="393">
        <v>5684</v>
      </c>
      <c r="J43" s="394">
        <v>99</v>
      </c>
      <c r="K43" s="393">
        <v>17</v>
      </c>
      <c r="L43" s="392">
        <v>12855</v>
      </c>
      <c r="M43" s="394">
        <v>188</v>
      </c>
      <c r="N43" s="1971"/>
      <c r="O43" s="372"/>
      <c r="P43" s="396" t="s">
        <v>1203</v>
      </c>
      <c r="Q43" s="916">
        <v>1</v>
      </c>
      <c r="R43" s="930">
        <v>292</v>
      </c>
      <c r="S43" s="916">
        <v>19</v>
      </c>
      <c r="T43" s="392">
        <v>1</v>
      </c>
      <c r="U43" s="370">
        <v>100</v>
      </c>
      <c r="V43" s="392">
        <v>5</v>
      </c>
      <c r="W43" s="930">
        <v>398</v>
      </c>
      <c r="X43" s="916">
        <v>17615</v>
      </c>
      <c r="Y43" s="1082">
        <v>458</v>
      </c>
    </row>
    <row r="44" spans="1:25" ht="19.5" customHeight="1">
      <c r="A44" s="396" t="s">
        <v>1204</v>
      </c>
      <c r="B44" s="372">
        <v>148</v>
      </c>
      <c r="C44" s="393">
        <v>11264</v>
      </c>
      <c r="D44" s="394">
        <v>415</v>
      </c>
      <c r="E44" s="393">
        <v>3</v>
      </c>
      <c r="F44" s="393">
        <v>263</v>
      </c>
      <c r="G44" s="392">
        <v>12</v>
      </c>
      <c r="H44" s="370">
        <v>19</v>
      </c>
      <c r="I44" s="393">
        <v>7411</v>
      </c>
      <c r="J44" s="374">
        <v>148</v>
      </c>
      <c r="K44" s="392">
        <v>14</v>
      </c>
      <c r="L44" s="392">
        <v>9895</v>
      </c>
      <c r="M44" s="374">
        <v>172</v>
      </c>
      <c r="N44" s="1971"/>
      <c r="O44" s="370"/>
      <c r="P44" s="396" t="s">
        <v>1204</v>
      </c>
      <c r="Q44" s="930">
        <v>1</v>
      </c>
      <c r="R44" s="916">
        <v>895</v>
      </c>
      <c r="S44" s="930">
        <v>25</v>
      </c>
      <c r="T44" s="392" t="s">
        <v>1229</v>
      </c>
      <c r="U44" s="1563" t="s">
        <v>1229</v>
      </c>
      <c r="V44" s="392" t="s">
        <v>1229</v>
      </c>
      <c r="W44" s="930">
        <v>358</v>
      </c>
      <c r="X44" s="916">
        <v>15139</v>
      </c>
      <c r="Y44" s="1082">
        <v>454</v>
      </c>
    </row>
    <row r="45" spans="1:25" ht="19.5" customHeight="1">
      <c r="A45" s="396" t="s">
        <v>1744</v>
      </c>
      <c r="B45" s="372">
        <v>81</v>
      </c>
      <c r="C45" s="393">
        <v>7938</v>
      </c>
      <c r="D45" s="394">
        <v>271</v>
      </c>
      <c r="E45" s="393">
        <v>7</v>
      </c>
      <c r="F45" s="393">
        <v>474</v>
      </c>
      <c r="G45" s="392">
        <v>23</v>
      </c>
      <c r="H45" s="370">
        <v>6</v>
      </c>
      <c r="I45" s="393">
        <v>1824</v>
      </c>
      <c r="J45" s="394">
        <v>35</v>
      </c>
      <c r="K45" s="393">
        <v>12</v>
      </c>
      <c r="L45" s="392">
        <v>9936</v>
      </c>
      <c r="M45" s="394">
        <v>160</v>
      </c>
      <c r="N45" s="1971"/>
      <c r="O45" s="372"/>
      <c r="P45" s="396" t="s">
        <v>1744</v>
      </c>
      <c r="Q45" s="392" t="s">
        <v>1229</v>
      </c>
      <c r="R45" s="1563" t="s">
        <v>1229</v>
      </c>
      <c r="S45" s="392" t="s">
        <v>1229</v>
      </c>
      <c r="T45" s="392" t="s">
        <v>1229</v>
      </c>
      <c r="U45" s="1563" t="s">
        <v>1229</v>
      </c>
      <c r="V45" s="392" t="s">
        <v>1229</v>
      </c>
      <c r="W45" s="930">
        <v>227</v>
      </c>
      <c r="X45" s="916">
        <v>10635</v>
      </c>
      <c r="Y45" s="1082">
        <v>273</v>
      </c>
    </row>
    <row r="46" spans="1:25" ht="19.5" customHeight="1">
      <c r="A46" s="396" t="s">
        <v>1745</v>
      </c>
      <c r="B46" s="372">
        <v>118</v>
      </c>
      <c r="C46" s="393">
        <v>9375</v>
      </c>
      <c r="D46" s="394">
        <v>352</v>
      </c>
      <c r="E46" s="393">
        <v>5</v>
      </c>
      <c r="F46" s="393">
        <v>412</v>
      </c>
      <c r="G46" s="392">
        <v>17</v>
      </c>
      <c r="H46" s="370">
        <v>14</v>
      </c>
      <c r="I46" s="393">
        <v>4736</v>
      </c>
      <c r="J46" s="394">
        <v>113</v>
      </c>
      <c r="K46" s="393">
        <v>11</v>
      </c>
      <c r="L46" s="392">
        <v>8300</v>
      </c>
      <c r="M46" s="394">
        <v>146</v>
      </c>
      <c r="N46" s="1971"/>
      <c r="O46" s="372"/>
      <c r="P46" s="396" t="s">
        <v>1745</v>
      </c>
      <c r="Q46" s="392" t="s">
        <v>1229</v>
      </c>
      <c r="R46" s="1563" t="s">
        <v>1229</v>
      </c>
      <c r="S46" s="392" t="s">
        <v>1229</v>
      </c>
      <c r="T46" s="392">
        <v>2</v>
      </c>
      <c r="U46" s="370">
        <v>1474</v>
      </c>
      <c r="V46" s="392">
        <v>134</v>
      </c>
      <c r="W46" s="930">
        <v>275</v>
      </c>
      <c r="X46" s="916">
        <v>12521</v>
      </c>
      <c r="Y46" s="1082">
        <v>344</v>
      </c>
    </row>
    <row r="47" spans="1:25" ht="19.5" customHeight="1">
      <c r="A47" s="396" t="s">
        <v>1227</v>
      </c>
      <c r="B47" s="372">
        <v>125</v>
      </c>
      <c r="C47" s="393">
        <v>11687</v>
      </c>
      <c r="D47" s="394">
        <v>300</v>
      </c>
      <c r="E47" s="393">
        <v>9</v>
      </c>
      <c r="F47" s="393">
        <v>824</v>
      </c>
      <c r="G47" s="392">
        <v>33</v>
      </c>
      <c r="H47" s="370">
        <v>8</v>
      </c>
      <c r="I47" s="392">
        <v>2012</v>
      </c>
      <c r="J47" s="374">
        <v>43</v>
      </c>
      <c r="K47" s="392">
        <v>17</v>
      </c>
      <c r="L47" s="392">
        <v>10244</v>
      </c>
      <c r="M47" s="374">
        <v>166</v>
      </c>
      <c r="N47" s="1971"/>
      <c r="O47" s="370"/>
      <c r="P47" s="396" t="s">
        <v>1227</v>
      </c>
      <c r="Q47" s="392" t="s">
        <v>1229</v>
      </c>
      <c r="R47" s="1563" t="s">
        <v>1229</v>
      </c>
      <c r="S47" s="392" t="s">
        <v>1229</v>
      </c>
      <c r="T47" s="392" t="s">
        <v>1229</v>
      </c>
      <c r="U47" s="1563" t="s">
        <v>1229</v>
      </c>
      <c r="V47" s="392" t="s">
        <v>1229</v>
      </c>
      <c r="W47" s="930">
        <v>393</v>
      </c>
      <c r="X47" s="916">
        <v>16360</v>
      </c>
      <c r="Y47" s="1082">
        <v>530</v>
      </c>
    </row>
    <row r="48" spans="1:25" ht="19.5" customHeight="1">
      <c r="A48" s="396" t="s">
        <v>1228</v>
      </c>
      <c r="B48" s="372">
        <v>135</v>
      </c>
      <c r="C48" s="393">
        <v>11074</v>
      </c>
      <c r="D48" s="394">
        <v>315</v>
      </c>
      <c r="E48" s="393">
        <v>15</v>
      </c>
      <c r="F48" s="393">
        <v>1336</v>
      </c>
      <c r="G48" s="392">
        <v>33</v>
      </c>
      <c r="H48" s="370">
        <v>9</v>
      </c>
      <c r="I48" s="393">
        <v>3637</v>
      </c>
      <c r="J48" s="374">
        <v>64</v>
      </c>
      <c r="K48" s="392">
        <v>20</v>
      </c>
      <c r="L48" s="392">
        <v>12437</v>
      </c>
      <c r="M48" s="374">
        <v>228</v>
      </c>
      <c r="N48" s="1971"/>
      <c r="O48" s="370"/>
      <c r="P48" s="396" t="s">
        <v>1228</v>
      </c>
      <c r="Q48" s="930">
        <v>1</v>
      </c>
      <c r="R48" s="916">
        <v>3207</v>
      </c>
      <c r="S48" s="930">
        <v>47</v>
      </c>
      <c r="T48" s="392">
        <v>1</v>
      </c>
      <c r="U48" s="370">
        <v>100</v>
      </c>
      <c r="V48" s="392">
        <v>11</v>
      </c>
      <c r="W48" s="930">
        <v>445</v>
      </c>
      <c r="X48" s="916">
        <v>15066</v>
      </c>
      <c r="Y48" s="1082">
        <v>543</v>
      </c>
    </row>
    <row r="49" spans="1:25" ht="19.5" customHeight="1">
      <c r="A49" s="396" t="s">
        <v>838</v>
      </c>
      <c r="B49" s="372">
        <v>18</v>
      </c>
      <c r="C49" s="393">
        <v>2274</v>
      </c>
      <c r="D49" s="394">
        <v>72</v>
      </c>
      <c r="E49" s="393" t="s">
        <v>1229</v>
      </c>
      <c r="F49" s="393" t="s">
        <v>1229</v>
      </c>
      <c r="G49" s="393" t="s">
        <v>1229</v>
      </c>
      <c r="H49" s="370">
        <v>1</v>
      </c>
      <c r="I49" s="392">
        <v>512</v>
      </c>
      <c r="J49" s="374">
        <v>7</v>
      </c>
      <c r="K49" s="392">
        <v>6</v>
      </c>
      <c r="L49" s="392">
        <v>4540</v>
      </c>
      <c r="M49" s="374">
        <v>87</v>
      </c>
      <c r="N49" s="1971"/>
      <c r="O49" s="370"/>
      <c r="P49" s="396" t="s">
        <v>838</v>
      </c>
      <c r="Q49" s="930">
        <v>1</v>
      </c>
      <c r="R49" s="916">
        <v>5213</v>
      </c>
      <c r="S49" s="915">
        <v>63</v>
      </c>
      <c r="T49" s="392">
        <v>1</v>
      </c>
      <c r="U49" s="370">
        <v>100</v>
      </c>
      <c r="V49" s="392">
        <v>10</v>
      </c>
      <c r="W49" s="930">
        <v>3</v>
      </c>
      <c r="X49" s="916">
        <v>85</v>
      </c>
      <c r="Y49" s="1082">
        <v>3</v>
      </c>
    </row>
    <row r="50" spans="1:25" ht="19.5" customHeight="1">
      <c r="A50" s="365" t="s">
        <v>317</v>
      </c>
      <c r="B50" s="170">
        <f>SUM(B51:B54)</f>
        <v>598</v>
      </c>
      <c r="C50" s="192">
        <f t="shared" ref="C50:Y50" si="6">SUM(C51:C54)</f>
        <v>53058</v>
      </c>
      <c r="D50" s="171">
        <f t="shared" si="6"/>
        <v>1674</v>
      </c>
      <c r="E50" s="170">
        <f t="shared" si="6"/>
        <v>45</v>
      </c>
      <c r="F50" s="192">
        <f>IF(SUM(F51:F54)=0,"..",SUM(F51:F54))</f>
        <v>5654</v>
      </c>
      <c r="G50" s="192">
        <f t="shared" si="6"/>
        <v>121</v>
      </c>
      <c r="H50" s="170">
        <f t="shared" si="6"/>
        <v>48</v>
      </c>
      <c r="I50" s="192">
        <f t="shared" si="6"/>
        <v>20383</v>
      </c>
      <c r="J50" s="171">
        <f t="shared" si="6"/>
        <v>340</v>
      </c>
      <c r="K50" s="192">
        <f t="shared" si="6"/>
        <v>82</v>
      </c>
      <c r="L50" s="171">
        <f>IF(SUM(L51:L54)=0,"..",SUM(L51:L54))</f>
        <v>56192</v>
      </c>
      <c r="M50" s="171">
        <f t="shared" si="6"/>
        <v>985</v>
      </c>
      <c r="N50" s="1971"/>
      <c r="O50" s="170"/>
      <c r="P50" s="365" t="s">
        <v>317</v>
      </c>
      <c r="Q50" s="192">
        <f t="shared" si="6"/>
        <v>3</v>
      </c>
      <c r="R50" s="192">
        <f t="shared" si="6"/>
        <v>5420</v>
      </c>
      <c r="S50" s="170">
        <f t="shared" si="6"/>
        <v>39</v>
      </c>
      <c r="T50" s="192">
        <f>IF(SUM(T51:T54)=0,"-",SUM(T51:T54))</f>
        <v>1</v>
      </c>
      <c r="U50" s="170">
        <f>IF(SUM(U51:U54)=0,"-",SUM(U51:U54))</f>
        <v>100</v>
      </c>
      <c r="V50" s="192">
        <f>IF(SUM(V51:V54)=0,"-",SUM(V51:V54))</f>
        <v>12</v>
      </c>
      <c r="W50" s="170">
        <f t="shared" si="6"/>
        <v>1844</v>
      </c>
      <c r="X50" s="192">
        <f t="shared" si="6"/>
        <v>78897</v>
      </c>
      <c r="Y50" s="171">
        <f t="shared" si="6"/>
        <v>2634</v>
      </c>
    </row>
    <row r="51" spans="1:25" ht="19.5" customHeight="1">
      <c r="A51" s="396" t="s">
        <v>1205</v>
      </c>
      <c r="B51" s="372">
        <v>152</v>
      </c>
      <c r="C51" s="393">
        <v>15651</v>
      </c>
      <c r="D51" s="394">
        <v>466</v>
      </c>
      <c r="E51" s="372">
        <v>5</v>
      </c>
      <c r="F51" s="393">
        <v>466</v>
      </c>
      <c r="G51" s="392">
        <v>13</v>
      </c>
      <c r="H51" s="370">
        <v>13</v>
      </c>
      <c r="I51" s="393">
        <v>5774</v>
      </c>
      <c r="J51" s="394">
        <v>109</v>
      </c>
      <c r="K51" s="393">
        <v>25</v>
      </c>
      <c r="L51" s="393">
        <v>16082</v>
      </c>
      <c r="M51" s="394">
        <v>286</v>
      </c>
      <c r="N51" s="1971"/>
      <c r="O51" s="372"/>
      <c r="P51" s="396" t="s">
        <v>1205</v>
      </c>
      <c r="Q51" s="930">
        <v>1</v>
      </c>
      <c r="R51" s="916">
        <v>2741</v>
      </c>
      <c r="S51" s="930">
        <v>16</v>
      </c>
      <c r="T51" s="392" t="s">
        <v>1229</v>
      </c>
      <c r="U51" s="1563" t="s">
        <v>1229</v>
      </c>
      <c r="V51" s="392" t="s">
        <v>1229</v>
      </c>
      <c r="W51" s="930">
        <v>475</v>
      </c>
      <c r="X51" s="916">
        <v>23005</v>
      </c>
      <c r="Y51" s="1082">
        <v>694</v>
      </c>
    </row>
    <row r="52" spans="1:25" ht="19.5" customHeight="1">
      <c r="A52" s="396" t="s">
        <v>1206</v>
      </c>
      <c r="B52" s="372">
        <v>103</v>
      </c>
      <c r="C52" s="393">
        <v>7909</v>
      </c>
      <c r="D52" s="394">
        <v>336</v>
      </c>
      <c r="E52" s="372">
        <v>12</v>
      </c>
      <c r="F52" s="393">
        <v>1687</v>
      </c>
      <c r="G52" s="393">
        <v>39</v>
      </c>
      <c r="H52" s="372">
        <v>6</v>
      </c>
      <c r="I52" s="393">
        <v>2657</v>
      </c>
      <c r="J52" s="394">
        <v>43</v>
      </c>
      <c r="K52" s="393">
        <v>16</v>
      </c>
      <c r="L52" s="393">
        <v>10460</v>
      </c>
      <c r="M52" s="394">
        <v>203</v>
      </c>
      <c r="N52" s="1971"/>
      <c r="O52" s="372"/>
      <c r="P52" s="396" t="s">
        <v>1206</v>
      </c>
      <c r="Q52" s="392" t="s">
        <v>1229</v>
      </c>
      <c r="R52" s="1563" t="s">
        <v>1229</v>
      </c>
      <c r="S52" s="392" t="s">
        <v>1229</v>
      </c>
      <c r="T52" s="392">
        <v>1</v>
      </c>
      <c r="U52" s="370">
        <v>100</v>
      </c>
      <c r="V52" s="392">
        <v>12</v>
      </c>
      <c r="W52" s="930">
        <v>326</v>
      </c>
      <c r="X52" s="916">
        <v>14971</v>
      </c>
      <c r="Y52" s="1082">
        <v>526</v>
      </c>
    </row>
    <row r="53" spans="1:25" ht="19.5" customHeight="1">
      <c r="A53" s="396" t="s">
        <v>1207</v>
      </c>
      <c r="B53" s="372">
        <v>125</v>
      </c>
      <c r="C53" s="393">
        <v>12138</v>
      </c>
      <c r="D53" s="394">
        <v>391</v>
      </c>
      <c r="E53" s="372">
        <v>8</v>
      </c>
      <c r="F53" s="393">
        <v>626</v>
      </c>
      <c r="G53" s="393">
        <v>22</v>
      </c>
      <c r="H53" s="372">
        <v>15</v>
      </c>
      <c r="I53" s="393">
        <v>6032</v>
      </c>
      <c r="J53" s="394">
        <v>97</v>
      </c>
      <c r="K53" s="393">
        <v>16</v>
      </c>
      <c r="L53" s="393">
        <v>11369</v>
      </c>
      <c r="M53" s="394">
        <v>191</v>
      </c>
      <c r="N53" s="1971"/>
      <c r="O53" s="372"/>
      <c r="P53" s="396" t="s">
        <v>1207</v>
      </c>
      <c r="Q53" s="930">
        <v>1</v>
      </c>
      <c r="R53" s="916">
        <v>1700</v>
      </c>
      <c r="S53" s="930">
        <v>5</v>
      </c>
      <c r="T53" s="392" t="s">
        <v>1229</v>
      </c>
      <c r="U53" s="1563" t="s">
        <v>1229</v>
      </c>
      <c r="V53" s="392" t="s">
        <v>1229</v>
      </c>
      <c r="W53" s="930">
        <v>433</v>
      </c>
      <c r="X53" s="916">
        <v>15353</v>
      </c>
      <c r="Y53" s="1082">
        <v>568</v>
      </c>
    </row>
    <row r="54" spans="1:25" ht="19.5" customHeight="1">
      <c r="A54" s="396" t="s">
        <v>1208</v>
      </c>
      <c r="B54" s="372">
        <v>218</v>
      </c>
      <c r="C54" s="393">
        <v>17360</v>
      </c>
      <c r="D54" s="394">
        <v>481</v>
      </c>
      <c r="E54" s="372">
        <v>20</v>
      </c>
      <c r="F54" s="393">
        <v>2875</v>
      </c>
      <c r="G54" s="441">
        <v>47</v>
      </c>
      <c r="H54" s="372">
        <v>14</v>
      </c>
      <c r="I54" s="393">
        <v>5920</v>
      </c>
      <c r="J54" s="394">
        <v>91</v>
      </c>
      <c r="K54" s="393">
        <v>25</v>
      </c>
      <c r="L54" s="393">
        <v>18281</v>
      </c>
      <c r="M54" s="394">
        <v>305</v>
      </c>
      <c r="N54" s="1971"/>
      <c r="O54" s="372"/>
      <c r="P54" s="396" t="s">
        <v>1208</v>
      </c>
      <c r="Q54" s="930">
        <v>1</v>
      </c>
      <c r="R54" s="916">
        <v>979</v>
      </c>
      <c r="S54" s="930">
        <v>18</v>
      </c>
      <c r="T54" s="392" t="s">
        <v>1229</v>
      </c>
      <c r="U54" s="1563" t="s">
        <v>1229</v>
      </c>
      <c r="V54" s="392" t="s">
        <v>1229</v>
      </c>
      <c r="W54" s="930">
        <v>610</v>
      </c>
      <c r="X54" s="916">
        <v>25568</v>
      </c>
      <c r="Y54" s="1082">
        <v>846</v>
      </c>
    </row>
    <row r="55" spans="1:25" ht="15.95" customHeight="1">
      <c r="A55" s="399" t="s">
        <v>958</v>
      </c>
      <c r="B55" s="398">
        <f t="shared" ref="B55:M55" si="7">SUM(B7,B8,B17,B34,B39,B50)</f>
        <v>3756</v>
      </c>
      <c r="C55" s="399">
        <f t="shared" si="7"/>
        <v>437530</v>
      </c>
      <c r="D55" s="400">
        <f t="shared" si="7"/>
        <v>11702</v>
      </c>
      <c r="E55" s="398">
        <f t="shared" si="7"/>
        <v>264</v>
      </c>
      <c r="F55" s="399">
        <f>SUM(F7,F8,F17,F34,F39,F50)</f>
        <v>34924</v>
      </c>
      <c r="G55" s="400">
        <f t="shared" si="7"/>
        <v>784</v>
      </c>
      <c r="H55" s="398">
        <f t="shared" si="7"/>
        <v>275</v>
      </c>
      <c r="I55" s="399">
        <f>SUM(I7,I8,I17,I34,I39,I50)</f>
        <v>112282</v>
      </c>
      <c r="J55" s="400">
        <f t="shared" si="7"/>
        <v>2050</v>
      </c>
      <c r="K55" s="401">
        <f t="shared" si="7"/>
        <v>501</v>
      </c>
      <c r="L55" s="399">
        <f>SUM(L7,L8,L17,L34,L39,L50)</f>
        <v>423268</v>
      </c>
      <c r="M55" s="400">
        <f t="shared" si="7"/>
        <v>7270</v>
      </c>
      <c r="N55" s="1971"/>
      <c r="O55" s="575"/>
      <c r="P55" s="397" t="s">
        <v>958</v>
      </c>
      <c r="Q55" s="399">
        <f t="shared" ref="Q55:Y55" si="8">SUM(Q7,Q8,Q17,Q34,Q39,Q50)</f>
        <v>38</v>
      </c>
      <c r="R55" s="399">
        <f t="shared" si="8"/>
        <v>96990</v>
      </c>
      <c r="S55" s="398">
        <f t="shared" si="8"/>
        <v>1300</v>
      </c>
      <c r="T55" s="399">
        <f t="shared" si="8"/>
        <v>25</v>
      </c>
      <c r="U55" s="398">
        <f t="shared" si="8"/>
        <v>12258</v>
      </c>
      <c r="V55" s="399">
        <f t="shared" si="8"/>
        <v>823</v>
      </c>
      <c r="W55" s="398">
        <f t="shared" si="8"/>
        <v>11949</v>
      </c>
      <c r="X55" s="399">
        <f t="shared" si="8"/>
        <v>518547</v>
      </c>
      <c r="Y55" s="400">
        <f t="shared" si="8"/>
        <v>14590</v>
      </c>
    </row>
    <row r="56" spans="1:25">
      <c r="A56" s="55"/>
      <c r="B56" s="55"/>
      <c r="C56" s="55"/>
      <c r="D56" s="763"/>
      <c r="E56" s="55"/>
      <c r="F56" s="55"/>
      <c r="G56" s="55"/>
      <c r="H56" s="55"/>
      <c r="I56" s="55"/>
      <c r="J56" s="763"/>
      <c r="K56" s="55"/>
      <c r="L56" s="55"/>
      <c r="M56" s="1187" t="s">
        <v>678</v>
      </c>
      <c r="N56" s="1971"/>
      <c r="O56" s="55"/>
      <c r="P56" s="55"/>
      <c r="Q56" s="55"/>
      <c r="R56" s="55"/>
      <c r="S56" s="55"/>
      <c r="T56" s="55"/>
      <c r="V56" s="105"/>
      <c r="W56" s="105"/>
      <c r="X56" s="105"/>
      <c r="Y56" s="1163" t="s">
        <v>484</v>
      </c>
    </row>
    <row r="57" spans="1:25">
      <c r="A57" s="55"/>
      <c r="B57" s="55"/>
      <c r="C57" s="55"/>
      <c r="D57" s="55"/>
      <c r="E57" s="55"/>
      <c r="F57" s="55"/>
      <c r="G57" s="55"/>
      <c r="H57" s="55"/>
      <c r="I57" s="55"/>
      <c r="J57" s="55"/>
      <c r="K57" s="55"/>
      <c r="L57" s="55"/>
      <c r="M57" s="55"/>
      <c r="N57" s="55"/>
      <c r="O57" s="55"/>
      <c r="P57" s="55"/>
      <c r="Q57" s="55"/>
      <c r="R57" s="55"/>
      <c r="S57" s="55"/>
      <c r="T57" s="55"/>
      <c r="U57" s="55"/>
      <c r="V57" s="55"/>
      <c r="W57" s="55"/>
      <c r="X57" s="55"/>
      <c r="Y57" s="55"/>
    </row>
  </sheetData>
  <mergeCells count="25">
    <mergeCell ref="P31:P32"/>
    <mergeCell ref="P2:Y2"/>
    <mergeCell ref="P29:Y29"/>
    <mergeCell ref="W31:Y31"/>
    <mergeCell ref="Q31:S31"/>
    <mergeCell ref="T31:V31"/>
    <mergeCell ref="T4:V4"/>
    <mergeCell ref="P4:P5"/>
    <mergeCell ref="W4:Y4"/>
    <mergeCell ref="A31:A32"/>
    <mergeCell ref="Q4:S4"/>
    <mergeCell ref="A29:M29"/>
    <mergeCell ref="N1:N27"/>
    <mergeCell ref="N29:N56"/>
    <mergeCell ref="B31:D31"/>
    <mergeCell ref="E31:G31"/>
    <mergeCell ref="H31:J31"/>
    <mergeCell ref="K31:M31"/>
    <mergeCell ref="A4:A5"/>
    <mergeCell ref="A1:M1"/>
    <mergeCell ref="B4:D4"/>
    <mergeCell ref="E4:G4"/>
    <mergeCell ref="H4:J4"/>
    <mergeCell ref="K4:M4"/>
    <mergeCell ref="A2:M2"/>
  </mergeCells>
  <phoneticPr fontId="0" type="noConversion"/>
  <conditionalFormatting sqref="A1:XFD1048576">
    <cfRule type="cellIs" dxfId="19" priority="1" stopIfTrue="1" operator="equal">
      <formula>".."</formula>
    </cfRule>
  </conditionalFormatting>
  <printOptions horizontalCentered="1"/>
  <pageMargins left="0.1" right="0.1" top="0.65" bottom="0.1" header="0.65" footer="0.1"/>
  <pageSetup paperSize="9" orientation="landscape" blackAndWhite="1" r:id="rId1"/>
  <headerFooter alignWithMargins="0"/>
  <rowBreaks count="1" manualBreakCount="1">
    <brk id="28" max="16383" man="1"/>
  </rowBreaks>
  <colBreaks count="1" manualBreakCount="1">
    <brk id="13" max="1048575" man="1"/>
  </colBreaks>
</worksheet>
</file>

<file path=xl/worksheets/sheet38.xml><?xml version="1.0" encoding="utf-8"?>
<worksheet xmlns="http://schemas.openxmlformats.org/spreadsheetml/2006/main" xmlns:r="http://schemas.openxmlformats.org/officeDocument/2006/relationships">
  <dimension ref="A1:J57"/>
  <sheetViews>
    <sheetView workbookViewId="0">
      <selection activeCell="J11" sqref="J11"/>
    </sheetView>
  </sheetViews>
  <sheetFormatPr defaultRowHeight="12.75"/>
  <cols>
    <col min="1" max="1" width="18.5703125" customWidth="1"/>
    <col min="2" max="10" width="8.140625" customWidth="1"/>
  </cols>
  <sheetData>
    <row r="1" spans="1:10" ht="20.25" customHeight="1">
      <c r="A1" s="1765" t="s">
        <v>1782</v>
      </c>
      <c r="B1" s="1765"/>
      <c r="C1" s="1765"/>
      <c r="D1" s="1765"/>
      <c r="E1" s="1765"/>
      <c r="F1" s="1765"/>
      <c r="G1" s="1765"/>
      <c r="H1" s="1765"/>
      <c r="I1" s="1765"/>
      <c r="J1" s="1765"/>
    </row>
    <row r="2" spans="1:10" s="80" customFormat="1" ht="35.25" customHeight="1">
      <c r="A2" s="1949" t="str">
        <f>CONCATENATE("Literacy Rate by sex in rural and urban areas 
in the district of ",District!A1,", 2011")</f>
        <v>Literacy Rate by sex in rural and urban areas 
in the district of South 24-Parganas, 2011</v>
      </c>
      <c r="B2" s="1949"/>
      <c r="C2" s="1949"/>
      <c r="D2" s="1949"/>
      <c r="E2" s="1949"/>
      <c r="F2" s="1949"/>
      <c r="G2" s="1949"/>
      <c r="H2" s="1949"/>
      <c r="I2" s="1949"/>
      <c r="J2" s="1949"/>
    </row>
    <row r="3" spans="1:10" ht="13.5" customHeight="1">
      <c r="J3" s="1539" t="s">
        <v>284</v>
      </c>
    </row>
    <row r="4" spans="1:10" ht="12.75" customHeight="1">
      <c r="A4" s="1737" t="s">
        <v>357</v>
      </c>
      <c r="B4" s="1892" t="s">
        <v>1006</v>
      </c>
      <c r="C4" s="1892"/>
      <c r="D4" s="1893"/>
      <c r="E4" s="1891" t="s">
        <v>1005</v>
      </c>
      <c r="F4" s="1892"/>
      <c r="G4" s="1893"/>
      <c r="H4" s="1891" t="s">
        <v>1765</v>
      </c>
      <c r="I4" s="1892"/>
      <c r="J4" s="1893"/>
    </row>
    <row r="5" spans="1:10">
      <c r="A5" s="1738"/>
      <c r="B5" s="126" t="s">
        <v>1003</v>
      </c>
      <c r="C5" s="133" t="s">
        <v>1004</v>
      </c>
      <c r="D5" s="127" t="s">
        <v>958</v>
      </c>
      <c r="E5" s="128" t="s">
        <v>1003</v>
      </c>
      <c r="F5" s="133" t="s">
        <v>1004</v>
      </c>
      <c r="G5" s="127" t="s">
        <v>958</v>
      </c>
      <c r="H5" s="128" t="s">
        <v>1003</v>
      </c>
      <c r="I5" s="133" t="s">
        <v>1004</v>
      </c>
      <c r="J5" s="127" t="s">
        <v>958</v>
      </c>
    </row>
    <row r="6" spans="1:10" ht="14.25" customHeight="1">
      <c r="A6" s="1174" t="s">
        <v>928</v>
      </c>
      <c r="B6" s="131" t="s">
        <v>929</v>
      </c>
      <c r="C6" s="130" t="s">
        <v>930</v>
      </c>
      <c r="D6" s="132" t="s">
        <v>931</v>
      </c>
      <c r="E6" s="137" t="s">
        <v>932</v>
      </c>
      <c r="F6" s="188" t="s">
        <v>933</v>
      </c>
      <c r="G6" s="132" t="s">
        <v>934</v>
      </c>
      <c r="H6" s="152" t="s">
        <v>959</v>
      </c>
      <c r="I6" s="188" t="s">
        <v>960</v>
      </c>
      <c r="J6" s="141" t="s">
        <v>961</v>
      </c>
    </row>
    <row r="7" spans="1:10" ht="14.25" customHeight="1">
      <c r="A7" s="317" t="s">
        <v>756</v>
      </c>
      <c r="B7" s="1175">
        <v>85.486808363471795</v>
      </c>
      <c r="C7" s="1176">
        <v>74.069223501578492</v>
      </c>
      <c r="D7" s="1177">
        <v>79.900596608258553</v>
      </c>
      <c r="E7" s="1175">
        <v>85.811382591043611</v>
      </c>
      <c r="F7" s="366">
        <v>77.930103871916103</v>
      </c>
      <c r="G7" s="1178">
        <v>81.964799286820579</v>
      </c>
      <c r="H7" s="1175">
        <v>85.68177577713756</v>
      </c>
      <c r="I7" s="1176">
        <v>76.38396077399986</v>
      </c>
      <c r="J7" s="1179">
        <v>81.139375377577664</v>
      </c>
    </row>
    <row r="8" spans="1:10" ht="27" customHeight="1">
      <c r="A8" s="979" t="s">
        <v>757</v>
      </c>
      <c r="B8" s="1418">
        <v>88.41</v>
      </c>
      <c r="C8" s="279">
        <v>78.73</v>
      </c>
      <c r="D8" s="1476">
        <v>83.63</v>
      </c>
      <c r="E8" s="1418">
        <v>87.46</v>
      </c>
      <c r="F8" s="279">
        <v>79.349999999999994</v>
      </c>
      <c r="G8" s="1476">
        <v>83.45</v>
      </c>
      <c r="H8" s="1418">
        <v>87.95</v>
      </c>
      <c r="I8" s="279">
        <v>79.03</v>
      </c>
      <c r="J8" s="249">
        <v>83.54</v>
      </c>
    </row>
    <row r="9" spans="1:10" ht="14.25" customHeight="1">
      <c r="A9" s="391" t="s">
        <v>1214</v>
      </c>
      <c r="B9" s="1418">
        <v>84.68</v>
      </c>
      <c r="C9" s="279">
        <v>70.45</v>
      </c>
      <c r="D9" s="1476">
        <v>77.73</v>
      </c>
      <c r="E9" s="1418">
        <v>87.55</v>
      </c>
      <c r="F9" s="279">
        <v>77.22</v>
      </c>
      <c r="G9" s="1476">
        <v>82.45</v>
      </c>
      <c r="H9" s="1418">
        <v>85.03</v>
      </c>
      <c r="I9" s="279">
        <v>71.290000000000006</v>
      </c>
      <c r="J9" s="249">
        <v>78.31</v>
      </c>
    </row>
    <row r="10" spans="1:10" ht="14.25" customHeight="1">
      <c r="A10" s="396" t="s">
        <v>1211</v>
      </c>
      <c r="B10" s="1418">
        <v>86.61</v>
      </c>
      <c r="C10" s="279">
        <v>75.819999999999993</v>
      </c>
      <c r="D10" s="1476">
        <v>81.349999999999994</v>
      </c>
      <c r="E10" s="1418">
        <v>86.13</v>
      </c>
      <c r="F10" s="279">
        <v>76.489999999999995</v>
      </c>
      <c r="G10" s="1476">
        <v>81.400000000000006</v>
      </c>
      <c r="H10" s="1418">
        <v>86.44</v>
      </c>
      <c r="I10" s="279">
        <v>76.05</v>
      </c>
      <c r="J10" s="249">
        <v>81.37</v>
      </c>
    </row>
    <row r="11" spans="1:10" ht="14.25" customHeight="1">
      <c r="A11" s="396" t="s">
        <v>1212</v>
      </c>
      <c r="B11" s="1418">
        <v>85.51</v>
      </c>
      <c r="C11" s="279">
        <v>75.69</v>
      </c>
      <c r="D11" s="1476">
        <v>80.67</v>
      </c>
      <c r="E11" s="1418">
        <v>84.83</v>
      </c>
      <c r="F11" s="279">
        <v>76</v>
      </c>
      <c r="G11" s="1476">
        <v>80.53</v>
      </c>
      <c r="H11" s="1418">
        <v>85.01</v>
      </c>
      <c r="I11" s="279">
        <v>75.92</v>
      </c>
      <c r="J11" s="249">
        <v>80.569999999999993</v>
      </c>
    </row>
    <row r="12" spans="1:10" ht="14.25" customHeight="1">
      <c r="A12" s="396" t="s">
        <v>1213</v>
      </c>
      <c r="B12" s="1418">
        <v>83.59</v>
      </c>
      <c r="C12" s="279">
        <v>74.16</v>
      </c>
      <c r="D12" s="1476">
        <v>78.98</v>
      </c>
      <c r="E12" s="1418">
        <v>84.13</v>
      </c>
      <c r="F12" s="279">
        <v>74.5</v>
      </c>
      <c r="G12" s="1476">
        <v>79.48</v>
      </c>
      <c r="H12" s="1418">
        <v>83.75</v>
      </c>
      <c r="I12" s="279">
        <v>74.260000000000005</v>
      </c>
      <c r="J12" s="249">
        <v>79.13</v>
      </c>
    </row>
    <row r="13" spans="1:10" ht="14.25" customHeight="1">
      <c r="A13" s="396" t="s">
        <v>1738</v>
      </c>
      <c r="B13" s="1123" t="s">
        <v>1229</v>
      </c>
      <c r="C13" s="371" t="s">
        <v>1229</v>
      </c>
      <c r="D13" s="1180" t="s">
        <v>1229</v>
      </c>
      <c r="E13" s="1418">
        <v>89.05</v>
      </c>
      <c r="F13" s="279">
        <v>80.97</v>
      </c>
      <c r="G13" s="1476">
        <v>85.14</v>
      </c>
      <c r="H13" s="1418">
        <v>89.05</v>
      </c>
      <c r="I13" s="279">
        <v>80.97</v>
      </c>
      <c r="J13" s="249">
        <v>85.14</v>
      </c>
    </row>
    <row r="14" spans="1:10" ht="14.25" customHeight="1">
      <c r="A14" s="396" t="s">
        <v>1739</v>
      </c>
      <c r="B14" s="1123" t="s">
        <v>1229</v>
      </c>
      <c r="C14" s="371" t="s">
        <v>1229</v>
      </c>
      <c r="D14" s="1180" t="s">
        <v>1229</v>
      </c>
      <c r="E14" s="1418">
        <v>85.43</v>
      </c>
      <c r="F14" s="279">
        <v>78.45</v>
      </c>
      <c r="G14" s="1476">
        <v>82.03</v>
      </c>
      <c r="H14" s="1418">
        <v>85.43</v>
      </c>
      <c r="I14" s="279">
        <v>78.45</v>
      </c>
      <c r="J14" s="249">
        <v>82.03</v>
      </c>
    </row>
    <row r="15" spans="1:10" ht="14.25" customHeight="1">
      <c r="A15" s="396" t="s">
        <v>1740</v>
      </c>
      <c r="B15" s="1123" t="s">
        <v>1229</v>
      </c>
      <c r="C15" s="371" t="s">
        <v>1229</v>
      </c>
      <c r="D15" s="1180" t="s">
        <v>1229</v>
      </c>
      <c r="E15" s="1418">
        <v>82.59</v>
      </c>
      <c r="F15" s="279">
        <v>74.819999999999993</v>
      </c>
      <c r="G15" s="1476">
        <v>78.8</v>
      </c>
      <c r="H15" s="1418">
        <v>82.59</v>
      </c>
      <c r="I15" s="279">
        <v>74.819999999999993</v>
      </c>
      <c r="J15" s="249">
        <v>78.8</v>
      </c>
    </row>
    <row r="16" spans="1:10" ht="14.25" customHeight="1">
      <c r="A16" s="1019" t="s">
        <v>1192</v>
      </c>
      <c r="B16" s="1181">
        <v>79.535522263973434</v>
      </c>
      <c r="C16" s="366">
        <v>66.247703272962227</v>
      </c>
      <c r="D16" s="1178">
        <v>73.068532611213357</v>
      </c>
      <c r="E16" s="1181">
        <v>90.306068909228713</v>
      </c>
      <c r="F16" s="366">
        <v>82.944959442062014</v>
      </c>
      <c r="G16" s="1178">
        <v>86.679028282371235</v>
      </c>
      <c r="H16" s="1181">
        <v>82.974675532588222</v>
      </c>
      <c r="I16" s="366">
        <v>71.667486521105971</v>
      </c>
      <c r="J16" s="1038">
        <v>77.449629482608358</v>
      </c>
    </row>
    <row r="17" spans="1:10" ht="14.25" customHeight="1">
      <c r="A17" s="396" t="s">
        <v>1218</v>
      </c>
      <c r="B17" s="894">
        <v>85.29</v>
      </c>
      <c r="C17" s="754">
        <v>73.010000000000005</v>
      </c>
      <c r="D17" s="776">
        <v>79.28</v>
      </c>
      <c r="E17" s="894">
        <v>86.92</v>
      </c>
      <c r="F17" s="371">
        <v>75.099999999999994</v>
      </c>
      <c r="G17" s="1180">
        <v>81.13</v>
      </c>
      <c r="H17" s="1123">
        <v>85.62</v>
      </c>
      <c r="I17" s="371">
        <v>73.430000000000007</v>
      </c>
      <c r="J17" s="911">
        <v>79.66</v>
      </c>
    </row>
    <row r="18" spans="1:10" ht="14.25" customHeight="1">
      <c r="A18" s="396" t="s">
        <v>759</v>
      </c>
      <c r="B18" s="894">
        <v>79.459999999999994</v>
      </c>
      <c r="C18" s="754">
        <v>64.459999999999994</v>
      </c>
      <c r="D18" s="776">
        <v>72.16</v>
      </c>
      <c r="E18" s="894">
        <v>83</v>
      </c>
      <c r="F18" s="754">
        <v>72.31</v>
      </c>
      <c r="G18" s="554">
        <v>77.77</v>
      </c>
      <c r="H18" s="1123">
        <v>80.09</v>
      </c>
      <c r="I18" s="371">
        <v>65.87</v>
      </c>
      <c r="J18" s="911">
        <v>73.17</v>
      </c>
    </row>
    <row r="19" spans="1:10" ht="14.25" customHeight="1">
      <c r="A19" s="396" t="s">
        <v>760</v>
      </c>
      <c r="B19" s="894">
        <v>76.930000000000007</v>
      </c>
      <c r="C19" s="754">
        <v>60.78</v>
      </c>
      <c r="D19" s="776">
        <v>69.05</v>
      </c>
      <c r="E19" s="894">
        <v>87.38</v>
      </c>
      <c r="F19" s="754">
        <v>75.25</v>
      </c>
      <c r="G19" s="554">
        <v>81.430000000000007</v>
      </c>
      <c r="H19" s="1123">
        <v>77.48</v>
      </c>
      <c r="I19" s="371">
        <v>61.55</v>
      </c>
      <c r="J19" s="911">
        <v>69.709999999999994</v>
      </c>
    </row>
    <row r="20" spans="1:10" ht="14.25" customHeight="1">
      <c r="A20" s="396" t="s">
        <v>1194</v>
      </c>
      <c r="B20" s="894">
        <v>79.010000000000005</v>
      </c>
      <c r="C20" s="754">
        <v>59.14</v>
      </c>
      <c r="D20" s="1182">
        <v>69.37</v>
      </c>
      <c r="E20" s="894" t="s">
        <v>1229</v>
      </c>
      <c r="F20" s="754" t="s">
        <v>1229</v>
      </c>
      <c r="G20" s="554" t="s">
        <v>1229</v>
      </c>
      <c r="H20" s="1123">
        <v>79.010000000000005</v>
      </c>
      <c r="I20" s="371">
        <v>59.14</v>
      </c>
      <c r="J20" s="911">
        <v>69.37</v>
      </c>
    </row>
    <row r="21" spans="1:10" ht="14.25" customHeight="1">
      <c r="A21" s="396" t="s">
        <v>1221</v>
      </c>
      <c r="B21" s="894">
        <v>81.540000000000006</v>
      </c>
      <c r="C21" s="754">
        <v>68.95</v>
      </c>
      <c r="D21" s="1182">
        <v>75.400000000000006</v>
      </c>
      <c r="E21" s="894">
        <v>83.86</v>
      </c>
      <c r="F21" s="754">
        <v>74.59</v>
      </c>
      <c r="G21" s="554">
        <v>79.290000000000006</v>
      </c>
      <c r="H21" s="1123">
        <v>82.17</v>
      </c>
      <c r="I21" s="371">
        <v>70.510000000000005</v>
      </c>
      <c r="J21" s="911">
        <v>76.459999999999994</v>
      </c>
    </row>
    <row r="22" spans="1:10" ht="14.25" customHeight="1">
      <c r="A22" s="396" t="s">
        <v>761</v>
      </c>
      <c r="B22" s="1418">
        <v>77.03</v>
      </c>
      <c r="C22" s="279">
        <v>66.56</v>
      </c>
      <c r="D22" s="249">
        <v>71.94</v>
      </c>
      <c r="E22" s="1418">
        <v>77.03</v>
      </c>
      <c r="F22" s="279">
        <v>69.73</v>
      </c>
      <c r="G22" s="321">
        <v>73.45</v>
      </c>
      <c r="H22" s="1418">
        <v>77.03</v>
      </c>
      <c r="I22" s="279">
        <v>66.83</v>
      </c>
      <c r="J22" s="249">
        <v>72.06</v>
      </c>
    </row>
    <row r="23" spans="1:10" ht="14.25" customHeight="1">
      <c r="A23" s="396" t="s">
        <v>762</v>
      </c>
      <c r="B23" s="1418">
        <v>78.010000000000005</v>
      </c>
      <c r="C23" s="279">
        <v>70.64</v>
      </c>
      <c r="D23" s="249">
        <v>74.45</v>
      </c>
      <c r="E23" s="1418" t="s">
        <v>1229</v>
      </c>
      <c r="F23" s="279" t="s">
        <v>1229</v>
      </c>
      <c r="G23" s="249" t="s">
        <v>1229</v>
      </c>
      <c r="H23" s="1418">
        <v>78.010000000000005</v>
      </c>
      <c r="I23" s="279">
        <v>70.64</v>
      </c>
      <c r="J23" s="249">
        <v>74.45</v>
      </c>
    </row>
    <row r="24" spans="1:10" ht="14.25" customHeight="1">
      <c r="A24" s="396" t="s">
        <v>836</v>
      </c>
      <c r="B24" s="894" t="s">
        <v>1229</v>
      </c>
      <c r="C24" s="754" t="s">
        <v>1229</v>
      </c>
      <c r="D24" s="1182" t="s">
        <v>1229</v>
      </c>
      <c r="E24" s="1418">
        <v>91.96</v>
      </c>
      <c r="F24" s="279">
        <v>84.66</v>
      </c>
      <c r="G24" s="249">
        <v>88.38</v>
      </c>
      <c r="H24" s="1418">
        <v>91.96</v>
      </c>
      <c r="I24" s="279">
        <v>84.66</v>
      </c>
      <c r="J24" s="249">
        <v>88.38</v>
      </c>
    </row>
    <row r="25" spans="1:10" ht="14.25" customHeight="1">
      <c r="A25" s="396" t="s">
        <v>1742</v>
      </c>
      <c r="B25" s="894" t="s">
        <v>1229</v>
      </c>
      <c r="C25" s="754" t="s">
        <v>1229</v>
      </c>
      <c r="D25" s="1182" t="s">
        <v>1229</v>
      </c>
      <c r="E25" s="1418">
        <v>94.43</v>
      </c>
      <c r="F25" s="279">
        <v>89.62</v>
      </c>
      <c r="G25" s="249">
        <v>92.04</v>
      </c>
      <c r="H25" s="1418">
        <v>94.43</v>
      </c>
      <c r="I25" s="279">
        <v>89.62</v>
      </c>
      <c r="J25" s="249">
        <v>92.04</v>
      </c>
    </row>
    <row r="26" spans="1:10" ht="14.25" customHeight="1">
      <c r="A26" s="396" t="s">
        <v>1743</v>
      </c>
      <c r="B26" s="894" t="s">
        <v>1229</v>
      </c>
      <c r="C26" s="754" t="s">
        <v>1229</v>
      </c>
      <c r="D26" s="776" t="s">
        <v>1229</v>
      </c>
      <c r="E26" s="1418">
        <v>93.23</v>
      </c>
      <c r="F26" s="279">
        <v>86.96</v>
      </c>
      <c r="G26" s="1476">
        <v>90.14</v>
      </c>
      <c r="H26" s="1418">
        <v>93.23</v>
      </c>
      <c r="I26" s="279">
        <v>86.96</v>
      </c>
      <c r="J26" s="249">
        <v>90.14</v>
      </c>
    </row>
    <row r="27" spans="1:10" ht="14.25" customHeight="1">
      <c r="A27" s="365" t="s">
        <v>1195</v>
      </c>
      <c r="B27" s="1183">
        <v>77.585450549044594</v>
      </c>
      <c r="C27" s="1176">
        <v>62.436242544636208</v>
      </c>
      <c r="D27" s="1177">
        <v>70.156130504865104</v>
      </c>
      <c r="E27" s="1183">
        <v>83.128023936847455</v>
      </c>
      <c r="F27" s="366">
        <v>69.941358527447477</v>
      </c>
      <c r="G27" s="1178">
        <v>76.611228284844884</v>
      </c>
      <c r="H27" s="1184">
        <v>78.287643059353002</v>
      </c>
      <c r="I27" s="366">
        <v>63.399720621324796</v>
      </c>
      <c r="J27" s="1185">
        <v>70.979272228563914</v>
      </c>
    </row>
    <row r="28" spans="1:10" ht="14.25" customHeight="1">
      <c r="A28" s="396" t="s">
        <v>1223</v>
      </c>
      <c r="B28" s="1418">
        <v>73.92</v>
      </c>
      <c r="C28" s="279">
        <v>57.08</v>
      </c>
      <c r="D28" s="1476">
        <v>65.67</v>
      </c>
      <c r="E28" s="1418">
        <v>84.48</v>
      </c>
      <c r="F28" s="279">
        <v>71.040000000000006</v>
      </c>
      <c r="G28" s="1476">
        <v>77.83</v>
      </c>
      <c r="H28" s="1418">
        <v>78.31</v>
      </c>
      <c r="I28" s="1418">
        <v>62.95</v>
      </c>
      <c r="J28" s="279">
        <v>70.760000000000005</v>
      </c>
    </row>
    <row r="29" spans="1:10" ht="14.25" customHeight="1">
      <c r="A29" s="396" t="s">
        <v>1224</v>
      </c>
      <c r="B29" s="1418">
        <v>73.53</v>
      </c>
      <c r="C29" s="279">
        <v>59.85</v>
      </c>
      <c r="D29" s="321">
        <v>66.81</v>
      </c>
      <c r="E29" s="1418">
        <v>65.81</v>
      </c>
      <c r="F29" s="279">
        <v>54.61</v>
      </c>
      <c r="G29" s="321">
        <v>60.26</v>
      </c>
      <c r="H29" s="1418">
        <v>73.19</v>
      </c>
      <c r="I29" s="279">
        <v>59.61</v>
      </c>
      <c r="J29" s="249">
        <v>66.510000000000005</v>
      </c>
    </row>
    <row r="30" spans="1:10" ht="14.25" customHeight="1">
      <c r="A30" s="396" t="s">
        <v>1197</v>
      </c>
      <c r="B30" s="1418">
        <v>75.540000000000006</v>
      </c>
      <c r="C30" s="279">
        <v>60.34</v>
      </c>
      <c r="D30" s="321">
        <v>68.069999999999993</v>
      </c>
      <c r="E30" s="1418">
        <v>85.62</v>
      </c>
      <c r="F30" s="279">
        <v>74.31</v>
      </c>
      <c r="G30" s="321">
        <v>80.19</v>
      </c>
      <c r="H30" s="1418">
        <v>75.75</v>
      </c>
      <c r="I30" s="279">
        <v>60.62</v>
      </c>
      <c r="J30" s="249">
        <v>68.319999999999993</v>
      </c>
    </row>
    <row r="31" spans="1:10" ht="14.25" customHeight="1">
      <c r="A31" s="396" t="s">
        <v>1198</v>
      </c>
      <c r="B31" s="1418">
        <v>86.4</v>
      </c>
      <c r="C31" s="279">
        <v>71.22</v>
      </c>
      <c r="D31" s="321">
        <v>78.98</v>
      </c>
      <c r="E31" s="1418" t="s">
        <v>1229</v>
      </c>
      <c r="F31" s="279" t="s">
        <v>1229</v>
      </c>
      <c r="G31" s="321" t="s">
        <v>1229</v>
      </c>
      <c r="H31" s="1418">
        <v>86.4</v>
      </c>
      <c r="I31" s="279">
        <v>71.22</v>
      </c>
      <c r="J31" s="249">
        <v>78.98</v>
      </c>
    </row>
    <row r="32" spans="1:10" ht="14.25" customHeight="1">
      <c r="A32" s="365" t="s">
        <v>1199</v>
      </c>
      <c r="B32" s="1183">
        <v>82.352432517902784</v>
      </c>
      <c r="C32" s="1176">
        <v>69.384032241461753</v>
      </c>
      <c r="D32" s="1177">
        <v>76.041142190403107</v>
      </c>
      <c r="E32" s="1183">
        <v>82.423789230668703</v>
      </c>
      <c r="F32" s="1176">
        <v>72.385620915032675</v>
      </c>
      <c r="G32" s="352">
        <v>77.519558299885276</v>
      </c>
      <c r="H32" s="1181">
        <v>82.362808708118422</v>
      </c>
      <c r="I32" s="366">
        <v>69.823333581746724</v>
      </c>
      <c r="J32" s="1038">
        <v>76.256802143538422</v>
      </c>
    </row>
    <row r="33" spans="1:10" ht="14.25" customHeight="1">
      <c r="A33" s="396" t="s">
        <v>1225</v>
      </c>
      <c r="B33" s="279">
        <v>79.77</v>
      </c>
      <c r="C33" s="279">
        <v>67.84</v>
      </c>
      <c r="D33" s="279">
        <v>73.959999999999994</v>
      </c>
      <c r="E33" s="279">
        <v>77.760000000000005</v>
      </c>
      <c r="F33" s="279">
        <v>68.69</v>
      </c>
      <c r="G33" s="279">
        <v>73.36</v>
      </c>
      <c r="H33" s="279">
        <v>79.290000000000006</v>
      </c>
      <c r="I33" s="279">
        <v>68.040000000000006</v>
      </c>
      <c r="J33" s="279">
        <v>73.819999999999993</v>
      </c>
    </row>
    <row r="34" spans="1:10" ht="14.25" customHeight="1">
      <c r="A34" s="396" t="s">
        <v>1226</v>
      </c>
      <c r="B34" s="1123">
        <v>84.45</v>
      </c>
      <c r="C34" s="371">
        <v>71.08</v>
      </c>
      <c r="D34" s="1180">
        <v>77.97</v>
      </c>
      <c r="E34" s="1123">
        <v>81.489999999999995</v>
      </c>
      <c r="F34" s="371">
        <v>70.2</v>
      </c>
      <c r="G34" s="1180">
        <v>75.98</v>
      </c>
      <c r="H34" s="1123">
        <v>83.62</v>
      </c>
      <c r="I34" s="371">
        <v>70.84</v>
      </c>
      <c r="J34" s="911">
        <v>77.41</v>
      </c>
    </row>
    <row r="35" spans="1:10" ht="14.25" customHeight="1">
      <c r="A35" s="396" t="s">
        <v>837</v>
      </c>
      <c r="B35" s="1418">
        <v>82.76</v>
      </c>
      <c r="C35" s="279">
        <v>68.09</v>
      </c>
      <c r="D35" s="1476">
        <v>75.650000000000006</v>
      </c>
      <c r="E35" s="1418">
        <v>84.16</v>
      </c>
      <c r="F35" s="279">
        <v>71.069999999999993</v>
      </c>
      <c r="G35" s="321">
        <v>77.760000000000005</v>
      </c>
      <c r="H35" s="1418">
        <v>82.93</v>
      </c>
      <c r="I35" s="279">
        <v>68.44</v>
      </c>
      <c r="J35" s="249">
        <v>75.89</v>
      </c>
    </row>
    <row r="36" spans="1:10" ht="14.25" customHeight="1">
      <c r="A36" s="396" t="s">
        <v>1203</v>
      </c>
      <c r="B36" s="1418">
        <v>82.03</v>
      </c>
      <c r="C36" s="279">
        <v>68.86</v>
      </c>
      <c r="D36" s="1476">
        <v>75.599999999999994</v>
      </c>
      <c r="E36" s="1418">
        <v>77.209999999999994</v>
      </c>
      <c r="F36" s="279">
        <v>69.790000000000006</v>
      </c>
      <c r="G36" s="1476">
        <v>73.56</v>
      </c>
      <c r="H36" s="1418">
        <v>81.760000000000005</v>
      </c>
      <c r="I36" s="279">
        <v>68.91</v>
      </c>
      <c r="J36" s="249">
        <v>75.489999999999995</v>
      </c>
    </row>
    <row r="37" spans="1:10" ht="14.25" customHeight="1">
      <c r="A37" s="396" t="s">
        <v>1204</v>
      </c>
      <c r="B37" s="1418">
        <v>82.33</v>
      </c>
      <c r="C37" s="279">
        <v>70.33</v>
      </c>
      <c r="D37" s="1476">
        <v>76.47</v>
      </c>
      <c r="E37" s="1418">
        <v>89.4</v>
      </c>
      <c r="F37" s="279">
        <v>77.930000000000007</v>
      </c>
      <c r="G37" s="1476">
        <v>83.78</v>
      </c>
      <c r="H37" s="1418">
        <v>83</v>
      </c>
      <c r="I37" s="279">
        <v>71.06</v>
      </c>
      <c r="J37" s="249">
        <v>77.17</v>
      </c>
    </row>
    <row r="38" spans="1:10" ht="14.25" customHeight="1">
      <c r="A38" s="396" t="s">
        <v>1744</v>
      </c>
      <c r="B38" s="1418">
        <v>80.819999999999993</v>
      </c>
      <c r="C38" s="279">
        <v>69.540000000000006</v>
      </c>
      <c r="D38" s="1476">
        <v>75.31</v>
      </c>
      <c r="E38" s="1418">
        <v>83.02</v>
      </c>
      <c r="F38" s="279">
        <v>73.38</v>
      </c>
      <c r="G38" s="1476">
        <v>78.319999999999993</v>
      </c>
      <c r="H38" s="1418">
        <v>81.12</v>
      </c>
      <c r="I38" s="279">
        <v>70.06</v>
      </c>
      <c r="J38" s="249">
        <v>75.72</v>
      </c>
    </row>
    <row r="39" spans="1:10" ht="14.25" customHeight="1">
      <c r="A39" s="396" t="s">
        <v>1745</v>
      </c>
      <c r="B39" s="1418">
        <v>82.34</v>
      </c>
      <c r="C39" s="279">
        <v>71.89</v>
      </c>
      <c r="D39" s="321">
        <v>77.23</v>
      </c>
      <c r="E39" s="1418">
        <v>68.56</v>
      </c>
      <c r="F39" s="279">
        <v>60.26</v>
      </c>
      <c r="G39" s="321">
        <v>64.5</v>
      </c>
      <c r="H39" s="1418">
        <v>82</v>
      </c>
      <c r="I39" s="279">
        <v>71.59</v>
      </c>
      <c r="J39" s="249">
        <v>76.91</v>
      </c>
    </row>
    <row r="40" spans="1:10" ht="14.25" customHeight="1">
      <c r="A40" s="396" t="s">
        <v>1227</v>
      </c>
      <c r="B40" s="1418">
        <v>80.34</v>
      </c>
      <c r="C40" s="279">
        <v>66.27</v>
      </c>
      <c r="D40" s="321">
        <v>73.489999999999995</v>
      </c>
      <c r="E40" s="1418">
        <v>82.31</v>
      </c>
      <c r="F40" s="279">
        <v>70.78</v>
      </c>
      <c r="G40" s="321">
        <v>76.75</v>
      </c>
      <c r="H40" s="1418">
        <v>80.599999999999994</v>
      </c>
      <c r="I40" s="279">
        <v>66.87</v>
      </c>
      <c r="J40" s="249">
        <v>73.930000000000007</v>
      </c>
    </row>
    <row r="41" spans="1:10" ht="14.25" customHeight="1">
      <c r="A41" s="396" t="s">
        <v>1228</v>
      </c>
      <c r="B41" s="279">
        <v>85.09</v>
      </c>
      <c r="C41" s="279">
        <v>69.98</v>
      </c>
      <c r="D41" s="279">
        <v>77.77</v>
      </c>
      <c r="E41" s="279" t="s">
        <v>1229</v>
      </c>
      <c r="F41" s="279" t="s">
        <v>1229</v>
      </c>
      <c r="G41" s="279" t="s">
        <v>1229</v>
      </c>
      <c r="H41" s="279">
        <v>85.09</v>
      </c>
      <c r="I41" s="279">
        <v>69.98</v>
      </c>
      <c r="J41" s="279">
        <v>77.77</v>
      </c>
    </row>
    <row r="42" spans="1:10" ht="14.25" customHeight="1">
      <c r="A42" s="396" t="s">
        <v>838</v>
      </c>
      <c r="B42" s="894" t="s">
        <v>1364</v>
      </c>
      <c r="C42" s="371" t="s">
        <v>1229</v>
      </c>
      <c r="D42" s="1180" t="s">
        <v>1229</v>
      </c>
      <c r="E42" s="1418">
        <v>89.57</v>
      </c>
      <c r="F42" s="279">
        <v>82.25</v>
      </c>
      <c r="G42" s="1476">
        <v>85.93</v>
      </c>
      <c r="H42" s="1418">
        <v>89.57</v>
      </c>
      <c r="I42" s="279">
        <v>82.25</v>
      </c>
      <c r="J42" s="249">
        <v>85.93</v>
      </c>
    </row>
    <row r="43" spans="1:10" ht="14.25" customHeight="1">
      <c r="A43" s="365" t="s">
        <v>1561</v>
      </c>
      <c r="B43" s="1183">
        <v>88.338922285237444</v>
      </c>
      <c r="C43" s="366">
        <v>75.421029309068814</v>
      </c>
      <c r="D43" s="1178">
        <v>82.040352758584802</v>
      </c>
      <c r="E43" s="1181" t="s">
        <v>1229</v>
      </c>
      <c r="F43" s="366" t="s">
        <v>1229</v>
      </c>
      <c r="G43" s="1178" t="s">
        <v>1229</v>
      </c>
      <c r="H43" s="1181">
        <v>88.338922285237444</v>
      </c>
      <c r="I43" s="366">
        <v>75.421029309068814</v>
      </c>
      <c r="J43" s="1038">
        <v>82.040352758584802</v>
      </c>
    </row>
    <row r="44" spans="1:10" ht="14.25" customHeight="1">
      <c r="A44" s="396" t="s">
        <v>1205</v>
      </c>
      <c r="B44" s="1418">
        <v>84.34</v>
      </c>
      <c r="C44" s="279">
        <v>71.22</v>
      </c>
      <c r="D44" s="1476">
        <v>77.930000000000007</v>
      </c>
      <c r="E44" s="1418" t="s">
        <v>1229</v>
      </c>
      <c r="F44" s="279" t="s">
        <v>1229</v>
      </c>
      <c r="G44" s="1476" t="s">
        <v>1229</v>
      </c>
      <c r="H44" s="1418">
        <v>84.34</v>
      </c>
      <c r="I44" s="279">
        <v>71.22</v>
      </c>
      <c r="J44" s="249">
        <v>77.930000000000007</v>
      </c>
    </row>
    <row r="45" spans="1:10" ht="14.25" customHeight="1">
      <c r="A45" s="396" t="s">
        <v>1206</v>
      </c>
      <c r="B45" s="1418">
        <v>91.54</v>
      </c>
      <c r="C45" s="279">
        <v>79.64</v>
      </c>
      <c r="D45" s="1476">
        <v>85.72</v>
      </c>
      <c r="E45" s="1418" t="s">
        <v>1229</v>
      </c>
      <c r="F45" s="279" t="s">
        <v>1229</v>
      </c>
      <c r="G45" s="1476" t="s">
        <v>1229</v>
      </c>
      <c r="H45" s="1418">
        <v>91.54</v>
      </c>
      <c r="I45" s="279">
        <v>79.64</v>
      </c>
      <c r="J45" s="249">
        <v>85.72</v>
      </c>
    </row>
    <row r="46" spans="1:10" ht="14.25" customHeight="1">
      <c r="A46" s="396" t="s">
        <v>1207</v>
      </c>
      <c r="B46" s="1418">
        <v>90.56</v>
      </c>
      <c r="C46" s="279">
        <v>77.39</v>
      </c>
      <c r="D46" s="1476">
        <v>84.21</v>
      </c>
      <c r="E46" s="1418" t="s">
        <v>1229</v>
      </c>
      <c r="F46" s="279" t="s">
        <v>1229</v>
      </c>
      <c r="G46" s="1476" t="s">
        <v>1229</v>
      </c>
      <c r="H46" s="1418">
        <v>90.56</v>
      </c>
      <c r="I46" s="279">
        <v>77.39</v>
      </c>
      <c r="J46" s="249">
        <v>84.21</v>
      </c>
    </row>
    <row r="47" spans="1:10" ht="14.25" customHeight="1">
      <c r="A47" s="396" t="s">
        <v>1208</v>
      </c>
      <c r="B47" s="1417">
        <v>88.54</v>
      </c>
      <c r="C47" s="538">
        <v>75.400000000000006</v>
      </c>
      <c r="D47" s="356">
        <v>82.11</v>
      </c>
      <c r="E47" s="1417" t="s">
        <v>1229</v>
      </c>
      <c r="F47" s="538" t="s">
        <v>1229</v>
      </c>
      <c r="G47" s="356" t="s">
        <v>1229</v>
      </c>
      <c r="H47" s="1417">
        <v>88.54</v>
      </c>
      <c r="I47" s="538">
        <v>75.400000000000006</v>
      </c>
      <c r="J47" s="259">
        <v>82.11</v>
      </c>
    </row>
    <row r="48" spans="1:10" s="7" customFormat="1" ht="15" customHeight="1">
      <c r="A48" s="1475" t="s">
        <v>252</v>
      </c>
      <c r="B48" s="1477" t="s">
        <v>534</v>
      </c>
      <c r="C48" s="1478">
        <v>68.900000000000006</v>
      </c>
      <c r="D48" s="1479" t="s">
        <v>535</v>
      </c>
      <c r="E48" s="1477" t="s">
        <v>536</v>
      </c>
      <c r="F48" s="1478" t="s">
        <v>537</v>
      </c>
      <c r="G48" s="1479" t="s">
        <v>538</v>
      </c>
      <c r="H48" s="1477" t="s">
        <v>539</v>
      </c>
      <c r="I48" s="1481">
        <v>71.400000000000006</v>
      </c>
      <c r="J48" s="1480" t="s">
        <v>540</v>
      </c>
    </row>
    <row r="49" spans="1:10">
      <c r="A49" s="1186" t="s">
        <v>372</v>
      </c>
      <c r="B49" s="1186"/>
      <c r="C49" s="1186"/>
      <c r="D49" s="1186"/>
      <c r="E49" s="1186"/>
      <c r="F49" s="1186"/>
      <c r="G49" s="1154"/>
      <c r="H49" s="1017"/>
      <c r="I49" s="1017"/>
      <c r="J49" s="1163" t="s">
        <v>541</v>
      </c>
    </row>
    <row r="50" spans="1:10">
      <c r="A50" s="50"/>
      <c r="B50" s="50"/>
      <c r="C50" s="50"/>
      <c r="D50" s="50"/>
      <c r="E50" s="50"/>
      <c r="F50" s="50"/>
    </row>
    <row r="51" spans="1:10">
      <c r="A51" s="50"/>
      <c r="B51" s="50"/>
      <c r="C51" s="50"/>
      <c r="D51" s="50"/>
      <c r="E51" s="50"/>
      <c r="F51" s="50"/>
      <c r="G51" s="50"/>
      <c r="H51" s="50"/>
      <c r="I51" s="50"/>
      <c r="J51" s="50"/>
    </row>
    <row r="52" spans="1:10">
      <c r="A52" s="50"/>
      <c r="B52" s="50"/>
      <c r="C52" s="50"/>
      <c r="D52" s="50"/>
      <c r="E52" s="50"/>
      <c r="F52" s="50"/>
      <c r="J52" s="50"/>
    </row>
    <row r="53" spans="1:10">
      <c r="A53" s="50"/>
      <c r="B53" s="50"/>
      <c r="C53" s="50"/>
      <c r="D53" s="50"/>
      <c r="E53" s="50"/>
      <c r="F53" s="50"/>
      <c r="G53" s="50"/>
      <c r="H53" s="50"/>
    </row>
    <row r="55" spans="1:10">
      <c r="A55" s="61"/>
      <c r="B55" s="61"/>
      <c r="C55" s="61"/>
      <c r="D55" s="61"/>
      <c r="E55" s="61"/>
      <c r="F55" s="61"/>
      <c r="G55" s="61"/>
      <c r="H55" s="61"/>
      <c r="I55" s="61"/>
      <c r="J55" s="61"/>
    </row>
    <row r="56" spans="1:10">
      <c r="A56" s="72"/>
      <c r="B56" s="50"/>
      <c r="C56" s="50"/>
      <c r="D56" s="50"/>
      <c r="E56" s="50"/>
      <c r="F56" s="50"/>
      <c r="G56" s="50"/>
      <c r="H56" s="50"/>
      <c r="I56" s="50"/>
      <c r="J56" s="50"/>
    </row>
    <row r="57" spans="1:10">
      <c r="A57" s="50"/>
      <c r="B57" s="50"/>
      <c r="C57" s="50"/>
      <c r="D57" s="50"/>
      <c r="E57" s="50"/>
      <c r="F57" s="50"/>
      <c r="G57" s="50"/>
      <c r="H57" s="50"/>
      <c r="I57" s="50"/>
      <c r="J57" s="50"/>
    </row>
  </sheetData>
  <mergeCells count="6">
    <mergeCell ref="A1:J1"/>
    <mergeCell ref="A2:J2"/>
    <mergeCell ref="A4:A5"/>
    <mergeCell ref="B4:D4"/>
    <mergeCell ref="E4:G4"/>
    <mergeCell ref="H4:J4"/>
  </mergeCells>
  <phoneticPr fontId="0" type="noConversion"/>
  <printOptions horizontalCentered="1"/>
  <pageMargins left="0.1" right="0.1" top="0.5" bottom="0.1" header="0.5" footer="0.1"/>
  <pageSetup paperSize="9" orientation="portrait" blackAndWhite="1" r:id="rId1"/>
  <headerFooter alignWithMargins="0"/>
</worksheet>
</file>

<file path=xl/worksheets/sheet39.xml><?xml version="1.0" encoding="utf-8"?>
<worksheet xmlns="http://schemas.openxmlformats.org/spreadsheetml/2006/main" xmlns:r="http://schemas.openxmlformats.org/officeDocument/2006/relationships">
  <sheetPr codeName="Sheet35"/>
  <dimension ref="A1:F58"/>
  <sheetViews>
    <sheetView workbookViewId="0">
      <selection activeCell="J11" sqref="J11"/>
    </sheetView>
  </sheetViews>
  <sheetFormatPr defaultRowHeight="12.4" customHeight="1"/>
  <cols>
    <col min="1" max="1" width="23" customWidth="1"/>
    <col min="2" max="2" width="16.140625" customWidth="1"/>
    <col min="3" max="3" width="20.42578125" customWidth="1"/>
    <col min="4" max="4" width="22.42578125" customWidth="1"/>
  </cols>
  <sheetData>
    <row r="1" spans="1:4" ht="12.4" customHeight="1">
      <c r="A1" s="1948" t="s">
        <v>1781</v>
      </c>
      <c r="B1" s="1948"/>
      <c r="C1" s="1948"/>
      <c r="D1" s="1948"/>
    </row>
    <row r="2" spans="1:4" ht="33.75" customHeight="1">
      <c r="A2" s="1949" t="str">
        <f>CONCATENATE("Public Libraries, Reading Rooms and Mass Literacy Centres 
in the district of ",District!A1)</f>
        <v>Public Libraries, Reading Rooms and Mass Literacy Centres 
in the district of South 24-Parganas</v>
      </c>
      <c r="B2" s="1949"/>
      <c r="C2" s="1949"/>
      <c r="D2" s="1949"/>
    </row>
    <row r="3" spans="1:4" ht="12" customHeight="1">
      <c r="A3" t="s">
        <v>262</v>
      </c>
      <c r="B3" s="3"/>
      <c r="C3" s="3"/>
      <c r="D3" s="106" t="s">
        <v>977</v>
      </c>
    </row>
    <row r="4" spans="1:4" ht="41.25" customHeight="1">
      <c r="A4" s="260" t="s">
        <v>671</v>
      </c>
      <c r="B4" s="447" t="s">
        <v>1291</v>
      </c>
      <c r="C4" s="260" t="s">
        <v>1290</v>
      </c>
      <c r="D4" s="694" t="s">
        <v>1477</v>
      </c>
    </row>
    <row r="5" spans="1:4" ht="13.5" customHeight="1">
      <c r="A5" s="199" t="s">
        <v>928</v>
      </c>
      <c r="B5" s="119" t="s">
        <v>929</v>
      </c>
      <c r="C5" s="199" t="s">
        <v>930</v>
      </c>
      <c r="D5" s="120" t="s">
        <v>931</v>
      </c>
    </row>
    <row r="6" spans="1:4" ht="14.25" customHeight="1">
      <c r="A6" s="494" t="s">
        <v>1317</v>
      </c>
      <c r="B6" s="374">
        <v>156</v>
      </c>
      <c r="C6" s="374">
        <v>156</v>
      </c>
      <c r="D6" s="374">
        <v>5913</v>
      </c>
    </row>
    <row r="7" spans="1:4" ht="14.25" customHeight="1">
      <c r="A7" s="494" t="s">
        <v>221</v>
      </c>
      <c r="B7" s="82">
        <v>156</v>
      </c>
      <c r="C7" s="82">
        <v>156</v>
      </c>
      <c r="D7" s="82" t="s">
        <v>1229</v>
      </c>
    </row>
    <row r="8" spans="1:4" ht="14.25" customHeight="1">
      <c r="A8" s="494" t="s">
        <v>1301</v>
      </c>
      <c r="B8" s="374">
        <v>156</v>
      </c>
      <c r="C8" s="374">
        <v>156</v>
      </c>
      <c r="D8" s="374">
        <v>2640</v>
      </c>
    </row>
    <row r="9" spans="1:4" ht="14.25" customHeight="1">
      <c r="A9" s="494" t="s">
        <v>621</v>
      </c>
      <c r="B9" s="374">
        <v>156</v>
      </c>
      <c r="C9" s="374">
        <v>156</v>
      </c>
      <c r="D9" s="374">
        <v>2640</v>
      </c>
    </row>
    <row r="10" spans="1:4" ht="14.25" customHeight="1">
      <c r="A10" s="807" t="s">
        <v>206</v>
      </c>
      <c r="B10" s="443">
        <f>SUM(B12,B13,B22,B33,B38,B49)</f>
        <v>156</v>
      </c>
      <c r="C10" s="443">
        <f>SUM(C12,C13,C22,C33,C38,C49)</f>
        <v>156</v>
      </c>
      <c r="D10" s="443">
        <f>SUM(D12,D13,D22,D33,D38,D49)</f>
        <v>2640</v>
      </c>
    </row>
    <row r="11" spans="1:4" ht="25.5" customHeight="1">
      <c r="A11" s="910" t="s">
        <v>723</v>
      </c>
      <c r="B11" s="1977" t="str">
        <f>"Year : "  &amp; A10</f>
        <v>Year : 2013-14</v>
      </c>
      <c r="C11" s="1978"/>
      <c r="D11" s="1979"/>
    </row>
    <row r="12" spans="1:4" ht="12.75" customHeight="1">
      <c r="A12" s="1390" t="s">
        <v>1734</v>
      </c>
      <c r="B12" s="275">
        <v>20</v>
      </c>
      <c r="C12" s="275">
        <v>20</v>
      </c>
      <c r="D12" s="1084" t="s">
        <v>1229</v>
      </c>
    </row>
    <row r="13" spans="1:4" ht="12.75" customHeight="1">
      <c r="A13" s="350" t="s">
        <v>24</v>
      </c>
      <c r="B13" s="171">
        <f>SUM(B14:B21)</f>
        <v>24</v>
      </c>
      <c r="C13" s="171">
        <f>SUM(C14:C21)</f>
        <v>24</v>
      </c>
      <c r="D13" s="171">
        <f>IF(SUM(D14:D21)=0,"-",SUM(D14:D21))</f>
        <v>261</v>
      </c>
    </row>
    <row r="14" spans="1:4" ht="12.75" customHeight="1">
      <c r="A14" s="391" t="s">
        <v>757</v>
      </c>
      <c r="B14" s="916">
        <v>1</v>
      </c>
      <c r="C14" s="916">
        <v>1</v>
      </c>
      <c r="D14" s="77">
        <v>7</v>
      </c>
    </row>
    <row r="15" spans="1:4" ht="12.75" customHeight="1">
      <c r="A15" s="150" t="s">
        <v>1214</v>
      </c>
      <c r="B15" s="77">
        <v>2</v>
      </c>
      <c r="C15" s="77">
        <v>2</v>
      </c>
      <c r="D15" s="77">
        <v>84</v>
      </c>
    </row>
    <row r="16" spans="1:4" ht="12.75" customHeight="1">
      <c r="A16" s="496" t="s">
        <v>1211</v>
      </c>
      <c r="B16" s="77">
        <v>5</v>
      </c>
      <c r="C16" s="77">
        <v>5</v>
      </c>
      <c r="D16" s="77">
        <v>58</v>
      </c>
    </row>
    <row r="17" spans="1:6" ht="12.75" customHeight="1">
      <c r="A17" s="496" t="s">
        <v>1212</v>
      </c>
      <c r="B17" s="77">
        <v>2</v>
      </c>
      <c r="C17" s="77">
        <v>2</v>
      </c>
      <c r="D17" s="77">
        <v>30</v>
      </c>
      <c r="F17" s="560"/>
    </row>
    <row r="18" spans="1:6" ht="12.75" customHeight="1">
      <c r="A18" s="496" t="s">
        <v>1213</v>
      </c>
      <c r="B18" s="77">
        <v>4</v>
      </c>
      <c r="C18" s="77">
        <v>4</v>
      </c>
      <c r="D18" s="77">
        <v>82</v>
      </c>
    </row>
    <row r="19" spans="1:6" ht="12.75" customHeight="1">
      <c r="A19" s="496" t="s">
        <v>1738</v>
      </c>
      <c r="B19" s="77">
        <v>1</v>
      </c>
      <c r="C19" s="77">
        <v>1</v>
      </c>
      <c r="D19" s="702" t="s">
        <v>1229</v>
      </c>
    </row>
    <row r="20" spans="1:6" ht="12.75" customHeight="1">
      <c r="A20" s="496" t="s">
        <v>1715</v>
      </c>
      <c r="B20" s="77">
        <v>8</v>
      </c>
      <c r="C20" s="77">
        <v>8</v>
      </c>
      <c r="D20" s="702" t="s">
        <v>1229</v>
      </c>
    </row>
    <row r="21" spans="1:6" ht="12.75" customHeight="1">
      <c r="A21" s="496" t="s">
        <v>1740</v>
      </c>
      <c r="B21" s="261">
        <v>1</v>
      </c>
      <c r="C21" s="261">
        <v>1</v>
      </c>
      <c r="D21" s="702" t="s">
        <v>1229</v>
      </c>
    </row>
    <row r="22" spans="1:6" ht="12.75" customHeight="1">
      <c r="A22" s="497" t="s">
        <v>314</v>
      </c>
      <c r="B22" s="192">
        <f>SUM(B23:B32)</f>
        <v>40</v>
      </c>
      <c r="C22" s="192">
        <f>SUM(C23:C32)</f>
        <v>40</v>
      </c>
      <c r="D22" s="192">
        <f>IF(SUM(D23:D32)=0,"-",SUM(D23:D32))</f>
        <v>573</v>
      </c>
    </row>
    <row r="23" spans="1:6" ht="12.75" customHeight="1">
      <c r="A23" s="496" t="s">
        <v>1218</v>
      </c>
      <c r="B23" s="77">
        <v>4</v>
      </c>
      <c r="C23" s="77">
        <v>4</v>
      </c>
      <c r="D23" s="77">
        <v>17</v>
      </c>
    </row>
    <row r="24" spans="1:6" ht="12.75" customHeight="1">
      <c r="A24" s="496" t="s">
        <v>759</v>
      </c>
      <c r="B24" s="77">
        <v>5</v>
      </c>
      <c r="C24" s="77">
        <v>5</v>
      </c>
      <c r="D24" s="77">
        <v>110</v>
      </c>
    </row>
    <row r="25" spans="1:6" ht="12.75" customHeight="1">
      <c r="A25" s="496" t="s">
        <v>760</v>
      </c>
      <c r="B25" s="77">
        <v>4</v>
      </c>
      <c r="C25" s="77">
        <v>4</v>
      </c>
      <c r="D25" s="77">
        <v>163</v>
      </c>
    </row>
    <row r="26" spans="1:6" ht="12.75" customHeight="1">
      <c r="A26" s="496" t="s">
        <v>1194</v>
      </c>
      <c r="B26" s="77">
        <v>3</v>
      </c>
      <c r="C26" s="77">
        <v>3</v>
      </c>
      <c r="D26" s="77">
        <v>67</v>
      </c>
    </row>
    <row r="27" spans="1:6" ht="12.75" customHeight="1">
      <c r="A27" s="496" t="s">
        <v>1221</v>
      </c>
      <c r="B27" s="77">
        <v>4</v>
      </c>
      <c r="C27" s="77">
        <v>4</v>
      </c>
      <c r="D27" s="77">
        <v>57</v>
      </c>
    </row>
    <row r="28" spans="1:6" ht="12.75" customHeight="1">
      <c r="A28" s="496" t="s">
        <v>761</v>
      </c>
      <c r="B28" s="77">
        <v>5</v>
      </c>
      <c r="C28" s="77">
        <v>5</v>
      </c>
      <c r="D28" s="77">
        <v>61</v>
      </c>
    </row>
    <row r="29" spans="1:6" ht="12.75" customHeight="1">
      <c r="A29" s="496" t="s">
        <v>762</v>
      </c>
      <c r="B29" s="77">
        <v>3</v>
      </c>
      <c r="C29" s="77">
        <v>3</v>
      </c>
      <c r="D29" s="77">
        <v>98</v>
      </c>
    </row>
    <row r="30" spans="1:6" ht="12.75" customHeight="1">
      <c r="A30" s="496" t="s">
        <v>836</v>
      </c>
      <c r="B30" s="77">
        <v>2</v>
      </c>
      <c r="C30" s="77">
        <v>2</v>
      </c>
      <c r="D30" s="702" t="s">
        <v>1229</v>
      </c>
    </row>
    <row r="31" spans="1:6" ht="12.75" customHeight="1">
      <c r="A31" s="496" t="s">
        <v>1742</v>
      </c>
      <c r="B31" s="77">
        <v>3</v>
      </c>
      <c r="C31" s="77">
        <v>3</v>
      </c>
      <c r="D31" s="702" t="s">
        <v>1229</v>
      </c>
    </row>
    <row r="32" spans="1:6" ht="12.75" customHeight="1">
      <c r="A32" s="496" t="s">
        <v>1743</v>
      </c>
      <c r="B32" s="77">
        <v>7</v>
      </c>
      <c r="C32" s="77">
        <v>7</v>
      </c>
      <c r="D32" s="702" t="s">
        <v>1229</v>
      </c>
    </row>
    <row r="33" spans="1:4" ht="12.75" customHeight="1">
      <c r="A33" s="497" t="s">
        <v>315</v>
      </c>
      <c r="B33" s="192">
        <f>SUM(B34:B37)</f>
        <v>18</v>
      </c>
      <c r="C33" s="192">
        <f>SUM(C34:C37)</f>
        <v>18</v>
      </c>
      <c r="D33" s="192">
        <f>IF(SUM(D34:D37)=0,"-",SUM(D34:D37))</f>
        <v>512</v>
      </c>
    </row>
    <row r="34" spans="1:4" ht="12.75" customHeight="1">
      <c r="A34" s="496" t="s">
        <v>1223</v>
      </c>
      <c r="B34" s="77">
        <v>4</v>
      </c>
      <c r="C34" s="77">
        <v>4</v>
      </c>
      <c r="D34" s="77">
        <v>99</v>
      </c>
    </row>
    <row r="35" spans="1:4" ht="12.75" customHeight="1">
      <c r="A35" s="496" t="s">
        <v>1224</v>
      </c>
      <c r="B35" s="77">
        <v>4</v>
      </c>
      <c r="C35" s="77">
        <v>4</v>
      </c>
      <c r="D35" s="77">
        <v>96</v>
      </c>
    </row>
    <row r="36" spans="1:4" ht="12.75" customHeight="1">
      <c r="A36" s="496" t="s">
        <v>1197</v>
      </c>
      <c r="B36" s="77">
        <v>4</v>
      </c>
      <c r="C36" s="77">
        <v>4</v>
      </c>
      <c r="D36" s="77">
        <v>95</v>
      </c>
    </row>
    <row r="37" spans="1:4" ht="12.75" customHeight="1">
      <c r="A37" s="499" t="s">
        <v>1198</v>
      </c>
      <c r="B37" s="77">
        <v>6</v>
      </c>
      <c r="C37" s="77">
        <v>6</v>
      </c>
      <c r="D37" s="77">
        <v>222</v>
      </c>
    </row>
    <row r="38" spans="1:4" ht="12.75" customHeight="1">
      <c r="A38" s="497" t="s">
        <v>25</v>
      </c>
      <c r="B38" s="192">
        <f>SUM(B39:B48)</f>
        <v>36</v>
      </c>
      <c r="C38" s="192">
        <f>SUM(C39:C48)</f>
        <v>36</v>
      </c>
      <c r="D38" s="192">
        <f>IF(SUM(D39:D48)=0,"-",SUM(D39:D48))</f>
        <v>845</v>
      </c>
    </row>
    <row r="39" spans="1:4" ht="12.75" customHeight="1">
      <c r="A39" s="496" t="s">
        <v>1225</v>
      </c>
      <c r="B39" s="77">
        <v>3</v>
      </c>
      <c r="C39" s="77">
        <v>3</v>
      </c>
      <c r="D39" s="77">
        <v>96</v>
      </c>
    </row>
    <row r="40" spans="1:4" ht="12.75" customHeight="1">
      <c r="A40" s="496" t="s">
        <v>1226</v>
      </c>
      <c r="B40" s="77">
        <v>5</v>
      </c>
      <c r="C40" s="77">
        <v>5</v>
      </c>
      <c r="D40" s="77">
        <v>93</v>
      </c>
    </row>
    <row r="41" spans="1:4" ht="12.75" customHeight="1">
      <c r="A41" s="496" t="s">
        <v>837</v>
      </c>
      <c r="B41" s="77">
        <v>4</v>
      </c>
      <c r="C41" s="77">
        <v>4</v>
      </c>
      <c r="D41" s="77">
        <v>91</v>
      </c>
    </row>
    <row r="42" spans="1:4" ht="12.75" customHeight="1">
      <c r="A42" s="496" t="s">
        <v>1203</v>
      </c>
      <c r="B42" s="77">
        <v>6</v>
      </c>
      <c r="C42" s="77">
        <v>6</v>
      </c>
      <c r="D42" s="77">
        <v>66</v>
      </c>
    </row>
    <row r="43" spans="1:4" ht="12.75" customHeight="1">
      <c r="A43" s="496" t="s">
        <v>1204</v>
      </c>
      <c r="B43" s="77">
        <v>4</v>
      </c>
      <c r="C43" s="77">
        <v>4</v>
      </c>
      <c r="D43" s="77">
        <v>87</v>
      </c>
    </row>
    <row r="44" spans="1:4" ht="12.75" customHeight="1">
      <c r="A44" s="496" t="s">
        <v>1744</v>
      </c>
      <c r="B44" s="77">
        <v>1</v>
      </c>
      <c r="C44" s="77">
        <v>1</v>
      </c>
      <c r="D44" s="77">
        <v>122</v>
      </c>
    </row>
    <row r="45" spans="1:4" ht="12.75" customHeight="1">
      <c r="A45" s="496" t="s">
        <v>1745</v>
      </c>
      <c r="B45" s="77">
        <v>4</v>
      </c>
      <c r="C45" s="77">
        <v>4</v>
      </c>
      <c r="D45" s="77">
        <v>35</v>
      </c>
    </row>
    <row r="46" spans="1:4" ht="12.75" customHeight="1">
      <c r="A46" s="496" t="s">
        <v>1227</v>
      </c>
      <c r="B46" s="77">
        <v>4</v>
      </c>
      <c r="C46" s="77">
        <v>4</v>
      </c>
      <c r="D46" s="77">
        <v>132</v>
      </c>
    </row>
    <row r="47" spans="1:4" ht="12.75" customHeight="1">
      <c r="A47" s="496" t="s">
        <v>1228</v>
      </c>
      <c r="B47" s="77">
        <v>3</v>
      </c>
      <c r="C47" s="77">
        <v>3</v>
      </c>
      <c r="D47" s="77">
        <v>123</v>
      </c>
    </row>
    <row r="48" spans="1:4" ht="12.75" customHeight="1">
      <c r="A48" s="496" t="s">
        <v>838</v>
      </c>
      <c r="B48" s="77">
        <v>2</v>
      </c>
      <c r="C48" s="77">
        <v>2</v>
      </c>
      <c r="D48" s="702" t="s">
        <v>1229</v>
      </c>
    </row>
    <row r="49" spans="1:4" ht="12.75" customHeight="1">
      <c r="A49" s="497" t="s">
        <v>317</v>
      </c>
      <c r="B49" s="192">
        <f>SUM(B50:B53)</f>
        <v>18</v>
      </c>
      <c r="C49" s="192">
        <f>SUM(C50:C53)</f>
        <v>18</v>
      </c>
      <c r="D49" s="192">
        <f>IF(SUM(D50:D53)=0,"-",SUM(D50:D53))</f>
        <v>449</v>
      </c>
    </row>
    <row r="50" spans="1:4" ht="12.75" customHeight="1">
      <c r="A50" s="496" t="s">
        <v>1205</v>
      </c>
      <c r="B50" s="77">
        <v>2</v>
      </c>
      <c r="C50" s="39">
        <v>2</v>
      </c>
      <c r="D50" s="77">
        <v>157</v>
      </c>
    </row>
    <row r="51" spans="1:4" ht="12.75" customHeight="1">
      <c r="A51" s="496" t="s">
        <v>1206</v>
      </c>
      <c r="B51" s="77">
        <v>5</v>
      </c>
      <c r="C51" s="39">
        <v>5</v>
      </c>
      <c r="D51" s="77">
        <v>69</v>
      </c>
    </row>
    <row r="52" spans="1:4" ht="12.75" customHeight="1">
      <c r="A52" s="496" t="s">
        <v>1207</v>
      </c>
      <c r="B52" s="77">
        <v>5</v>
      </c>
      <c r="C52" s="39">
        <v>5</v>
      </c>
      <c r="D52" s="77">
        <v>63</v>
      </c>
    </row>
    <row r="53" spans="1:4" ht="12.75" customHeight="1">
      <c r="A53" s="500" t="s">
        <v>1208</v>
      </c>
      <c r="B53" s="78">
        <v>6</v>
      </c>
      <c r="C53" s="25">
        <v>6</v>
      </c>
      <c r="D53" s="78">
        <v>160</v>
      </c>
    </row>
    <row r="54" spans="1:4" ht="12.75" customHeight="1">
      <c r="A54" s="50"/>
      <c r="B54" s="1163" t="s">
        <v>1446</v>
      </c>
      <c r="C54" s="1976" t="str">
        <f>CONCATENATE("1) District Library Officer, ",District!A1)</f>
        <v>1) District Library Officer, South 24-Parganas</v>
      </c>
      <c r="D54" s="1976"/>
    </row>
    <row r="55" spans="1:4" ht="12.75" customHeight="1">
      <c r="A55" s="50"/>
      <c r="B55" s="1172"/>
      <c r="C55" s="1170" t="s">
        <v>1777</v>
      </c>
      <c r="D55" s="1173"/>
    </row>
    <row r="56" spans="1:4" ht="13.5" customHeight="1">
      <c r="A56" s="168"/>
      <c r="B56" s="50"/>
      <c r="C56" s="340"/>
      <c r="D56" s="340"/>
    </row>
    <row r="57" spans="1:4" ht="13.5" customHeight="1">
      <c r="A57" s="555"/>
      <c r="D57" s="9"/>
    </row>
    <row r="58" spans="1:4" ht="13.5" customHeight="1"/>
  </sheetData>
  <mergeCells count="4">
    <mergeCell ref="A1:D1"/>
    <mergeCell ref="A2:D2"/>
    <mergeCell ref="C54:D54"/>
    <mergeCell ref="B11:D11"/>
  </mergeCells>
  <phoneticPr fontId="0" type="noConversion"/>
  <printOptions horizontalCentered="1"/>
  <pageMargins left="0.1" right="0.1" top="0.5" bottom="0.1" header="0.31" footer="0.1"/>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1:D128"/>
  <sheetViews>
    <sheetView workbookViewId="0">
      <selection activeCell="J11" sqref="J11"/>
    </sheetView>
  </sheetViews>
  <sheetFormatPr defaultRowHeight="12.75"/>
  <cols>
    <col min="1" max="2" width="6.7109375" customWidth="1"/>
    <col min="3" max="3" width="74.140625" customWidth="1"/>
    <col min="4" max="4" width="9" hidden="1" customWidth="1"/>
  </cols>
  <sheetData>
    <row r="1" spans="1:4" ht="15.75" customHeight="1">
      <c r="A1" s="1699" t="s">
        <v>1812</v>
      </c>
      <c r="B1" s="1699"/>
      <c r="C1" s="1699"/>
      <c r="D1" s="1699"/>
    </row>
    <row r="2" spans="1:4" ht="25.5" customHeight="1">
      <c r="A2" s="653" t="s">
        <v>1731</v>
      </c>
      <c r="B2" s="774" t="s">
        <v>512</v>
      </c>
      <c r="C2" s="654" t="s">
        <v>1293</v>
      </c>
      <c r="D2" s="655" t="s">
        <v>513</v>
      </c>
    </row>
    <row r="3" spans="1:4" ht="14.25" customHeight="1">
      <c r="A3" s="81"/>
      <c r="B3" s="773"/>
      <c r="C3" s="593" t="s">
        <v>1910</v>
      </c>
      <c r="D3" s="57"/>
    </row>
    <row r="4" spans="1:4" ht="12.6" customHeight="1">
      <c r="A4" s="1334">
        <v>1</v>
      </c>
      <c r="B4" s="1335" t="s">
        <v>1234</v>
      </c>
      <c r="C4" s="1336" t="s">
        <v>673</v>
      </c>
      <c r="D4" s="68">
        <v>1</v>
      </c>
    </row>
    <row r="5" spans="1:4" ht="12.6" customHeight="1">
      <c r="A5" s="1337">
        <v>2</v>
      </c>
      <c r="B5" s="1335" t="s">
        <v>1235</v>
      </c>
      <c r="C5" s="189" t="s">
        <v>674</v>
      </c>
      <c r="D5" s="68">
        <v>1</v>
      </c>
    </row>
    <row r="6" spans="1:4" ht="12.6" customHeight="1">
      <c r="A6" s="836">
        <v>3</v>
      </c>
      <c r="B6" s="835" t="s">
        <v>1236</v>
      </c>
      <c r="C6" s="189" t="s">
        <v>98</v>
      </c>
      <c r="D6" s="68">
        <v>2</v>
      </c>
    </row>
    <row r="7" spans="1:4" ht="12.6" customHeight="1">
      <c r="A7" s="836">
        <v>4</v>
      </c>
      <c r="B7" s="835" t="s">
        <v>1237</v>
      </c>
      <c r="C7" s="189" t="s">
        <v>99</v>
      </c>
      <c r="D7" s="68">
        <v>2</v>
      </c>
    </row>
    <row r="8" spans="1:4">
      <c r="A8" s="595"/>
      <c r="B8" s="775"/>
      <c r="C8" s="594" t="s">
        <v>1909</v>
      </c>
      <c r="D8" s="57"/>
    </row>
    <row r="9" spans="1:4" ht="12.6" customHeight="1">
      <c r="A9" s="836">
        <v>5</v>
      </c>
      <c r="B9" s="835" t="s">
        <v>1238</v>
      </c>
      <c r="C9" s="189" t="s">
        <v>100</v>
      </c>
      <c r="D9" s="68">
        <v>3</v>
      </c>
    </row>
    <row r="10" spans="1:4" ht="12.6" customHeight="1">
      <c r="A10" s="836">
        <v>6</v>
      </c>
      <c r="B10" s="837" t="s">
        <v>1239</v>
      </c>
      <c r="C10" s="189" t="s">
        <v>293</v>
      </c>
      <c r="D10" s="68">
        <v>5</v>
      </c>
    </row>
    <row r="11" spans="1:4" ht="12.6" customHeight="1">
      <c r="A11" s="836">
        <v>7</v>
      </c>
      <c r="B11" s="837" t="s">
        <v>1240</v>
      </c>
      <c r="C11" s="189" t="s">
        <v>101</v>
      </c>
      <c r="D11" s="68">
        <v>5</v>
      </c>
    </row>
    <row r="12" spans="1:4" ht="12.6" customHeight="1">
      <c r="A12" s="836">
        <v>8</v>
      </c>
      <c r="B12" s="835" t="s">
        <v>1241</v>
      </c>
      <c r="C12" s="189" t="s">
        <v>102</v>
      </c>
      <c r="D12" s="68">
        <v>6</v>
      </c>
    </row>
    <row r="13" spans="1:4" ht="12.6" customHeight="1">
      <c r="A13" s="836">
        <v>9</v>
      </c>
      <c r="B13" s="835" t="s">
        <v>1242</v>
      </c>
      <c r="C13" s="189" t="s">
        <v>103</v>
      </c>
      <c r="D13" s="68">
        <v>7</v>
      </c>
    </row>
    <row r="14" spans="1:4" ht="12.6" customHeight="1">
      <c r="A14" s="836">
        <v>10</v>
      </c>
      <c r="B14" s="837" t="s">
        <v>1243</v>
      </c>
      <c r="C14" s="189" t="s">
        <v>104</v>
      </c>
      <c r="D14" s="68">
        <v>8</v>
      </c>
    </row>
    <row r="15" spans="1:4" ht="12.6" customHeight="1">
      <c r="A15" s="836">
        <v>11</v>
      </c>
      <c r="B15" s="837" t="s">
        <v>1244</v>
      </c>
      <c r="C15" s="189" t="s">
        <v>982</v>
      </c>
      <c r="D15" s="68">
        <v>9</v>
      </c>
    </row>
    <row r="16" spans="1:4" ht="12.6" customHeight="1">
      <c r="A16" s="836">
        <v>12</v>
      </c>
      <c r="B16" s="837" t="s">
        <v>1245</v>
      </c>
      <c r="C16" s="189" t="s">
        <v>105</v>
      </c>
      <c r="D16" s="68">
        <v>10</v>
      </c>
    </row>
    <row r="17" spans="1:4" ht="12.6" customHeight="1">
      <c r="A17" s="836">
        <v>13</v>
      </c>
      <c r="B17" s="837" t="s">
        <v>1246</v>
      </c>
      <c r="C17" s="189" t="s">
        <v>983</v>
      </c>
      <c r="D17" s="68">
        <v>11</v>
      </c>
    </row>
    <row r="18" spans="1:4" ht="12.6" customHeight="1">
      <c r="A18" s="836">
        <v>14</v>
      </c>
      <c r="B18" s="835" t="s">
        <v>1247</v>
      </c>
      <c r="C18" s="189" t="s">
        <v>154</v>
      </c>
      <c r="D18" s="68">
        <v>12</v>
      </c>
    </row>
    <row r="19" spans="1:4" ht="12.6" customHeight="1">
      <c r="A19" s="836">
        <v>15</v>
      </c>
      <c r="B19" s="835" t="s">
        <v>1248</v>
      </c>
      <c r="C19" s="189" t="s">
        <v>106</v>
      </c>
      <c r="D19" s="68">
        <v>15</v>
      </c>
    </row>
    <row r="20" spans="1:4" ht="12.6" customHeight="1">
      <c r="A20" s="836">
        <v>16</v>
      </c>
      <c r="B20" s="835" t="s">
        <v>1249</v>
      </c>
      <c r="C20" s="189" t="s">
        <v>113</v>
      </c>
      <c r="D20" s="68">
        <v>19</v>
      </c>
    </row>
    <row r="21" spans="1:4" ht="12.6" customHeight="1">
      <c r="A21" s="836">
        <v>17</v>
      </c>
      <c r="B21" s="835" t="s">
        <v>1250</v>
      </c>
      <c r="C21" s="189" t="s">
        <v>107</v>
      </c>
      <c r="D21" s="68">
        <v>20</v>
      </c>
    </row>
    <row r="22" spans="1:4" ht="12.6" customHeight="1">
      <c r="A22" s="836">
        <v>18</v>
      </c>
      <c r="B22" s="835" t="s">
        <v>1251</v>
      </c>
      <c r="C22" s="189" t="s">
        <v>691</v>
      </c>
      <c r="D22" s="68">
        <v>21</v>
      </c>
    </row>
    <row r="23" spans="1:4" ht="12.6" customHeight="1">
      <c r="A23" s="836">
        <v>19</v>
      </c>
      <c r="B23" s="837" t="s">
        <v>1252</v>
      </c>
      <c r="C23" s="189" t="s">
        <v>692</v>
      </c>
      <c r="D23" s="68">
        <v>22</v>
      </c>
    </row>
    <row r="24" spans="1:4" ht="12.6" customHeight="1">
      <c r="A24" s="836">
        <v>20</v>
      </c>
      <c r="B24" s="835" t="s">
        <v>1253</v>
      </c>
      <c r="C24" s="189" t="s">
        <v>112</v>
      </c>
      <c r="D24" s="68">
        <v>26</v>
      </c>
    </row>
    <row r="25" spans="1:4">
      <c r="A25" s="595"/>
      <c r="B25" s="775"/>
      <c r="C25" s="594" t="s">
        <v>1911</v>
      </c>
      <c r="D25" s="57"/>
    </row>
    <row r="26" spans="1:4" ht="12.6" customHeight="1">
      <c r="A26" s="836">
        <v>21</v>
      </c>
      <c r="B26" s="835" t="s">
        <v>1254</v>
      </c>
      <c r="C26" s="189" t="s">
        <v>114</v>
      </c>
      <c r="D26" s="68">
        <v>27</v>
      </c>
    </row>
    <row r="27" spans="1:4" ht="12.6" customHeight="1">
      <c r="A27" s="836">
        <v>22</v>
      </c>
      <c r="B27" s="835" t="s">
        <v>1255</v>
      </c>
      <c r="C27" s="189" t="s">
        <v>446</v>
      </c>
      <c r="D27" s="68">
        <v>29</v>
      </c>
    </row>
    <row r="28" spans="1:4" ht="12.6" customHeight="1">
      <c r="A28" s="836">
        <v>23</v>
      </c>
      <c r="B28" s="837" t="s">
        <v>1256</v>
      </c>
      <c r="C28" s="189" t="s">
        <v>693</v>
      </c>
      <c r="D28" s="68">
        <v>31</v>
      </c>
    </row>
    <row r="29" spans="1:4" ht="12.6" customHeight="1">
      <c r="A29" s="836">
        <v>24</v>
      </c>
      <c r="B29" s="835" t="s">
        <v>1257</v>
      </c>
      <c r="C29" s="189" t="s">
        <v>248</v>
      </c>
      <c r="D29" s="68">
        <v>32</v>
      </c>
    </row>
    <row r="30" spans="1:4" ht="12.6" customHeight="1">
      <c r="A30" s="836">
        <v>25</v>
      </c>
      <c r="B30" s="837" t="s">
        <v>1258</v>
      </c>
      <c r="C30" s="189" t="s">
        <v>249</v>
      </c>
      <c r="D30" s="68">
        <v>33</v>
      </c>
    </row>
    <row r="31" spans="1:4" ht="12" customHeight="1">
      <c r="A31" s="838"/>
      <c r="B31" s="775"/>
      <c r="C31" s="594" t="s">
        <v>1912</v>
      </c>
      <c r="D31" s="765"/>
    </row>
    <row r="32" spans="1:4" ht="12.6" customHeight="1">
      <c r="A32" s="836">
        <v>26</v>
      </c>
      <c r="B32" s="837" t="s">
        <v>1259</v>
      </c>
      <c r="C32" s="189" t="s">
        <v>155</v>
      </c>
      <c r="D32" s="68">
        <v>34</v>
      </c>
    </row>
    <row r="33" spans="1:4" ht="12.6" customHeight="1">
      <c r="A33" s="836">
        <v>27</v>
      </c>
      <c r="B33" s="837" t="s">
        <v>1260</v>
      </c>
      <c r="C33" s="189" t="s">
        <v>156</v>
      </c>
      <c r="D33" s="68">
        <v>35</v>
      </c>
    </row>
    <row r="34" spans="1:4" ht="12.6" customHeight="1">
      <c r="A34" s="836">
        <v>28</v>
      </c>
      <c r="B34" s="837" t="s">
        <v>1261</v>
      </c>
      <c r="C34" s="189" t="s">
        <v>157</v>
      </c>
      <c r="D34" s="68">
        <v>36</v>
      </c>
    </row>
    <row r="35" spans="1:4" ht="12.6" customHeight="1">
      <c r="A35" s="836">
        <v>29</v>
      </c>
      <c r="B35" s="837" t="s">
        <v>1262</v>
      </c>
      <c r="C35" s="189" t="s">
        <v>305</v>
      </c>
      <c r="D35" s="68">
        <v>37</v>
      </c>
    </row>
    <row r="36" spans="1:4" ht="12.6" customHeight="1">
      <c r="A36" s="836">
        <v>30</v>
      </c>
      <c r="B36" s="837" t="s">
        <v>1263</v>
      </c>
      <c r="C36" s="189" t="s">
        <v>306</v>
      </c>
      <c r="D36" s="68">
        <v>38</v>
      </c>
    </row>
    <row r="37" spans="1:4" ht="12.6" customHeight="1">
      <c r="A37" s="836">
        <v>31</v>
      </c>
      <c r="B37" s="837" t="s">
        <v>1264</v>
      </c>
      <c r="C37" s="189" t="s">
        <v>325</v>
      </c>
      <c r="D37" s="68">
        <v>39</v>
      </c>
    </row>
    <row r="38" spans="1:4" ht="12.6" customHeight="1">
      <c r="A38" s="836">
        <v>32</v>
      </c>
      <c r="B38" s="837" t="s">
        <v>1265</v>
      </c>
      <c r="C38" s="189" t="s">
        <v>694</v>
      </c>
      <c r="D38" s="68">
        <v>40</v>
      </c>
    </row>
    <row r="39" spans="1:4" ht="12.6" customHeight="1">
      <c r="A39" s="836">
        <v>33</v>
      </c>
      <c r="B39" s="1252" t="s">
        <v>1266</v>
      </c>
      <c r="C39" s="827" t="s">
        <v>326</v>
      </c>
      <c r="D39" s="68">
        <v>41</v>
      </c>
    </row>
    <row r="40" spans="1:4" ht="12.6" customHeight="1">
      <c r="A40" s="836">
        <v>34</v>
      </c>
      <c r="B40" s="837" t="s">
        <v>1267</v>
      </c>
      <c r="C40" s="189" t="s">
        <v>327</v>
      </c>
      <c r="D40" s="68">
        <v>42</v>
      </c>
    </row>
    <row r="41" spans="1:4" ht="12.6" customHeight="1">
      <c r="A41" s="836">
        <v>35</v>
      </c>
      <c r="B41" s="835" t="s">
        <v>1268</v>
      </c>
      <c r="C41" s="189" t="s">
        <v>158</v>
      </c>
      <c r="D41" s="68">
        <v>43</v>
      </c>
    </row>
    <row r="42" spans="1:4" ht="12.6" customHeight="1">
      <c r="A42" s="836">
        <v>36</v>
      </c>
      <c r="B42" s="835" t="s">
        <v>1269</v>
      </c>
      <c r="C42" s="189" t="s">
        <v>1798</v>
      </c>
      <c r="D42" s="68">
        <v>47</v>
      </c>
    </row>
    <row r="43" spans="1:4" ht="12.6" customHeight="1">
      <c r="A43" s="836">
        <v>37</v>
      </c>
      <c r="B43" s="835" t="s">
        <v>1270</v>
      </c>
      <c r="C43" s="189" t="s">
        <v>115</v>
      </c>
      <c r="D43" s="68">
        <v>48</v>
      </c>
    </row>
    <row r="44" spans="1:4" ht="12.6" customHeight="1">
      <c r="A44" s="836">
        <v>38</v>
      </c>
      <c r="B44" s="835" t="s">
        <v>1271</v>
      </c>
      <c r="C44" s="189" t="s">
        <v>695</v>
      </c>
      <c r="D44" s="68">
        <v>49</v>
      </c>
    </row>
    <row r="45" spans="1:4" ht="12.6" customHeight="1">
      <c r="A45" s="836">
        <v>39</v>
      </c>
      <c r="B45" s="835" t="s">
        <v>1272</v>
      </c>
      <c r="C45" s="189" t="s">
        <v>696</v>
      </c>
      <c r="D45" s="68">
        <v>50</v>
      </c>
    </row>
    <row r="46" spans="1:4">
      <c r="A46" s="838"/>
      <c r="B46" s="775"/>
      <c r="C46" s="594" t="s">
        <v>1913</v>
      </c>
      <c r="D46" s="57"/>
    </row>
    <row r="47" spans="1:4" ht="12.6" customHeight="1">
      <c r="A47" s="836">
        <v>40</v>
      </c>
      <c r="B47" s="837">
        <v>5.0999999999999996</v>
      </c>
      <c r="C47" s="189" t="s">
        <v>116</v>
      </c>
      <c r="D47" s="68">
        <v>51</v>
      </c>
    </row>
    <row r="48" spans="1:4" ht="12.6" customHeight="1">
      <c r="A48" s="836">
        <v>41</v>
      </c>
      <c r="B48" s="837" t="s">
        <v>1273</v>
      </c>
      <c r="C48" s="189" t="s">
        <v>159</v>
      </c>
      <c r="D48" s="68">
        <v>51</v>
      </c>
    </row>
    <row r="49" spans="1:4" ht="12.6" customHeight="1">
      <c r="A49" s="836">
        <v>42</v>
      </c>
      <c r="B49" s="837" t="s">
        <v>1274</v>
      </c>
      <c r="C49" s="189" t="s">
        <v>160</v>
      </c>
      <c r="D49" s="68">
        <v>52</v>
      </c>
    </row>
    <row r="50" spans="1:4" ht="12.6" customHeight="1">
      <c r="A50" s="836">
        <v>43</v>
      </c>
      <c r="B50" s="837">
        <v>5.2</v>
      </c>
      <c r="C50" s="189" t="s">
        <v>117</v>
      </c>
      <c r="D50" s="68">
        <v>52</v>
      </c>
    </row>
    <row r="51" spans="1:4" ht="12.6" customHeight="1">
      <c r="A51" s="836">
        <v>44</v>
      </c>
      <c r="B51" s="837">
        <v>5.3</v>
      </c>
      <c r="C51" s="189" t="s">
        <v>118</v>
      </c>
      <c r="D51" s="68">
        <v>53</v>
      </c>
    </row>
    <row r="52" spans="1:4" ht="12.6" customHeight="1">
      <c r="A52" s="836">
        <v>45</v>
      </c>
      <c r="B52" s="837" t="s">
        <v>1275</v>
      </c>
      <c r="C52" s="189" t="s">
        <v>119</v>
      </c>
      <c r="D52" s="68">
        <v>54</v>
      </c>
    </row>
    <row r="53" spans="1:4" ht="12.6" customHeight="1">
      <c r="A53" s="836">
        <v>46</v>
      </c>
      <c r="B53" s="837" t="s">
        <v>1276</v>
      </c>
      <c r="C53" s="189" t="s">
        <v>120</v>
      </c>
      <c r="D53" s="68">
        <v>55</v>
      </c>
    </row>
    <row r="54" spans="1:4" ht="12.6" customHeight="1">
      <c r="A54" s="836">
        <v>47</v>
      </c>
      <c r="B54" s="837" t="s">
        <v>1277</v>
      </c>
      <c r="C54" s="189" t="s">
        <v>121</v>
      </c>
      <c r="D54" s="68">
        <v>55</v>
      </c>
    </row>
    <row r="55" spans="1:4" ht="12.6" customHeight="1">
      <c r="A55" s="836">
        <v>48</v>
      </c>
      <c r="B55" s="837" t="s">
        <v>1278</v>
      </c>
      <c r="C55" s="189" t="s">
        <v>697</v>
      </c>
      <c r="D55" s="68">
        <v>56</v>
      </c>
    </row>
    <row r="56" spans="1:4" ht="12.6" customHeight="1">
      <c r="A56" s="836">
        <v>49</v>
      </c>
      <c r="B56" s="837" t="s">
        <v>1279</v>
      </c>
      <c r="C56" s="189" t="s">
        <v>122</v>
      </c>
      <c r="D56" s="68">
        <v>57</v>
      </c>
    </row>
    <row r="57" spans="1:4" ht="12.6" customHeight="1">
      <c r="A57" s="765">
        <v>50</v>
      </c>
      <c r="B57" s="839">
        <v>5.4</v>
      </c>
      <c r="C57" s="827" t="s">
        <v>163</v>
      </c>
      <c r="D57" s="68">
        <v>58</v>
      </c>
    </row>
    <row r="58" spans="1:4" ht="12.6" customHeight="1">
      <c r="A58" s="836">
        <v>51</v>
      </c>
      <c r="B58" s="837">
        <v>5.5</v>
      </c>
      <c r="C58" s="189" t="s">
        <v>123</v>
      </c>
      <c r="D58" s="68">
        <v>59</v>
      </c>
    </row>
    <row r="59" spans="1:4" ht="12.6" customHeight="1">
      <c r="A59" s="836">
        <v>52</v>
      </c>
      <c r="B59" s="837" t="s">
        <v>1280</v>
      </c>
      <c r="C59" s="189" t="s">
        <v>124</v>
      </c>
      <c r="D59" s="68">
        <v>59</v>
      </c>
    </row>
    <row r="60" spans="1:4" ht="12.6" customHeight="1">
      <c r="A60" s="836">
        <v>53</v>
      </c>
      <c r="B60" s="837">
        <v>5.6</v>
      </c>
      <c r="C60" s="189" t="s">
        <v>125</v>
      </c>
      <c r="D60" s="68">
        <v>60</v>
      </c>
    </row>
    <row r="61" spans="1:4" ht="12.6" customHeight="1">
      <c r="A61" s="836">
        <v>54</v>
      </c>
      <c r="B61" s="837">
        <v>5.7</v>
      </c>
      <c r="C61" s="189" t="s">
        <v>126</v>
      </c>
      <c r="D61" s="68">
        <v>60</v>
      </c>
    </row>
    <row r="62" spans="1:4" ht="12.6" customHeight="1">
      <c r="A62" s="840">
        <v>55</v>
      </c>
      <c r="B62" s="841">
        <v>5.8</v>
      </c>
      <c r="C62" s="319" t="s">
        <v>127</v>
      </c>
      <c r="D62" s="69">
        <v>60</v>
      </c>
    </row>
    <row r="63" spans="1:4">
      <c r="A63" s="73"/>
      <c r="B63" s="73"/>
      <c r="C63" s="1233" t="s">
        <v>678</v>
      </c>
    </row>
    <row r="64" spans="1:4">
      <c r="A64" s="1701" t="s">
        <v>1147</v>
      </c>
      <c r="B64" s="1701"/>
      <c r="C64" s="1701"/>
      <c r="D64" s="1701"/>
    </row>
    <row r="65" spans="1:4" ht="18.75">
      <c r="C65" s="351" t="s">
        <v>510</v>
      </c>
    </row>
    <row r="66" spans="1:4" ht="25.5" customHeight="1">
      <c r="A66" s="653" t="s">
        <v>1730</v>
      </c>
      <c r="B66" s="653" t="s">
        <v>512</v>
      </c>
      <c r="C66" s="654" t="s">
        <v>1293</v>
      </c>
      <c r="D66" s="655" t="s">
        <v>513</v>
      </c>
    </row>
    <row r="67" spans="1:4">
      <c r="A67" s="584"/>
      <c r="B67" s="583"/>
      <c r="C67" s="596" t="s">
        <v>1914</v>
      </c>
      <c r="D67" s="57"/>
    </row>
    <row r="68" spans="1:4" ht="12.6" customHeight="1">
      <c r="A68" s="836">
        <v>56</v>
      </c>
      <c r="B68" s="836">
        <v>6.1</v>
      </c>
      <c r="C68" s="189" t="s">
        <v>128</v>
      </c>
      <c r="D68" s="68">
        <v>61</v>
      </c>
    </row>
    <row r="69" spans="1:4" s="7" customFormat="1" ht="12.6" customHeight="1">
      <c r="A69" s="836">
        <v>57</v>
      </c>
      <c r="B69" s="836">
        <v>6.2</v>
      </c>
      <c r="C69" s="189" t="s">
        <v>165</v>
      </c>
      <c r="D69" s="68">
        <v>62</v>
      </c>
    </row>
    <row r="70" spans="1:4">
      <c r="A70" s="595"/>
      <c r="B70" s="167"/>
      <c r="C70" s="594" t="s">
        <v>1915</v>
      </c>
      <c r="D70" s="57"/>
    </row>
    <row r="71" spans="1:4" ht="12.6" customHeight="1">
      <c r="A71" s="836">
        <v>58</v>
      </c>
      <c r="B71" s="836">
        <v>7.1</v>
      </c>
      <c r="C71" s="189" t="s">
        <v>129</v>
      </c>
      <c r="D71" s="68">
        <v>64</v>
      </c>
    </row>
    <row r="72" spans="1:4" ht="12.6" customHeight="1">
      <c r="A72" s="836">
        <v>59</v>
      </c>
      <c r="B72" s="836">
        <v>7.2</v>
      </c>
      <c r="C72" s="189" t="s">
        <v>732</v>
      </c>
      <c r="D72" s="68">
        <v>65</v>
      </c>
    </row>
    <row r="73" spans="1:4" ht="12.6" customHeight="1">
      <c r="A73" s="836">
        <v>60</v>
      </c>
      <c r="B73" s="836">
        <v>7.3</v>
      </c>
      <c r="C73" s="189" t="s">
        <v>511</v>
      </c>
      <c r="D73" s="68">
        <v>65</v>
      </c>
    </row>
    <row r="74" spans="1:4">
      <c r="A74" s="595"/>
      <c r="B74" s="167"/>
      <c r="C74" s="594" t="s">
        <v>1916</v>
      </c>
      <c r="D74" s="57"/>
    </row>
    <row r="75" spans="1:4" ht="12.6" customHeight="1">
      <c r="A75" s="836">
        <v>61</v>
      </c>
      <c r="B75" s="836">
        <v>8.1</v>
      </c>
      <c r="C75" s="189" t="s">
        <v>136</v>
      </c>
      <c r="D75" s="68">
        <v>66</v>
      </c>
    </row>
    <row r="76" spans="1:4" ht="12.6" customHeight="1">
      <c r="A76" s="836">
        <v>62</v>
      </c>
      <c r="B76" s="836">
        <v>8.1999999999999993</v>
      </c>
      <c r="C76" s="189" t="s">
        <v>130</v>
      </c>
      <c r="D76" s="68">
        <v>66</v>
      </c>
    </row>
    <row r="77" spans="1:4" ht="12.6" customHeight="1">
      <c r="A77" s="836">
        <v>63</v>
      </c>
      <c r="B77" s="836" t="s">
        <v>1281</v>
      </c>
      <c r="C77" s="189" t="s">
        <v>734</v>
      </c>
      <c r="D77" s="68">
        <v>67</v>
      </c>
    </row>
    <row r="78" spans="1:4" ht="12.6" customHeight="1">
      <c r="A78" s="836">
        <v>64</v>
      </c>
      <c r="B78" s="836">
        <v>8.3000000000000007</v>
      </c>
      <c r="C78" s="189" t="s">
        <v>131</v>
      </c>
      <c r="D78" s="68">
        <v>68</v>
      </c>
    </row>
    <row r="79" spans="1:4" ht="12.6" customHeight="1">
      <c r="A79" s="836">
        <v>65</v>
      </c>
      <c r="B79" s="836">
        <v>8.4</v>
      </c>
      <c r="C79" s="189" t="s">
        <v>137</v>
      </c>
      <c r="D79" s="68">
        <v>70</v>
      </c>
    </row>
    <row r="80" spans="1:4">
      <c r="A80" s="595"/>
      <c r="B80" s="167"/>
      <c r="C80" s="594" t="s">
        <v>1917</v>
      </c>
      <c r="D80" s="57"/>
    </row>
    <row r="81" spans="1:4" ht="12.6" customHeight="1">
      <c r="A81" s="836">
        <v>66</v>
      </c>
      <c r="B81" s="836">
        <v>9.1</v>
      </c>
      <c r="C81" s="189" t="s">
        <v>1540</v>
      </c>
      <c r="D81" s="68">
        <v>71</v>
      </c>
    </row>
    <row r="82" spans="1:4" ht="12.6" customHeight="1">
      <c r="A82" s="836">
        <v>67</v>
      </c>
      <c r="B82" s="836">
        <v>9.1999999999999993</v>
      </c>
      <c r="C82" s="26" t="s">
        <v>132</v>
      </c>
      <c r="D82" s="68">
        <v>72</v>
      </c>
    </row>
    <row r="83" spans="1:4" ht="12.6" customHeight="1">
      <c r="A83" s="836">
        <v>68</v>
      </c>
      <c r="B83" s="836" t="s">
        <v>1282</v>
      </c>
      <c r="C83" s="26" t="s">
        <v>133</v>
      </c>
      <c r="D83" s="68">
        <v>72</v>
      </c>
    </row>
    <row r="84" spans="1:4" ht="12.6" customHeight="1">
      <c r="A84" s="836">
        <v>69</v>
      </c>
      <c r="B84" s="836" t="s">
        <v>1283</v>
      </c>
      <c r="C84" s="26" t="s">
        <v>134</v>
      </c>
      <c r="D84" s="68">
        <v>72</v>
      </c>
    </row>
    <row r="85" spans="1:4">
      <c r="A85" s="595"/>
      <c r="B85" s="167"/>
      <c r="C85" s="594" t="s">
        <v>1918</v>
      </c>
      <c r="D85" s="57"/>
    </row>
    <row r="86" spans="1:4" ht="12.6" customHeight="1">
      <c r="A86" s="836">
        <v>70</v>
      </c>
      <c r="B86" s="836">
        <v>10.1</v>
      </c>
      <c r="C86" s="189" t="s">
        <v>135</v>
      </c>
      <c r="D86" s="68">
        <v>73</v>
      </c>
    </row>
    <row r="87" spans="1:4" ht="12.6" customHeight="1">
      <c r="A87" s="836">
        <v>71</v>
      </c>
      <c r="B87" s="836">
        <v>10.199999999999999</v>
      </c>
      <c r="C87" s="189" t="s">
        <v>138</v>
      </c>
      <c r="D87" s="68">
        <v>73</v>
      </c>
    </row>
    <row r="88" spans="1:4" ht="12.6" customHeight="1">
      <c r="A88" s="836">
        <v>72</v>
      </c>
      <c r="B88" s="836">
        <v>10.3</v>
      </c>
      <c r="C88" s="189" t="s">
        <v>139</v>
      </c>
      <c r="D88" s="68">
        <v>74</v>
      </c>
    </row>
    <row r="89" spans="1:4">
      <c r="A89" s="595"/>
      <c r="B89" s="167"/>
      <c r="C89" s="594" t="s">
        <v>1919</v>
      </c>
      <c r="D89" s="57"/>
    </row>
    <row r="90" spans="1:4" ht="12.6" customHeight="1">
      <c r="A90" s="836">
        <v>73</v>
      </c>
      <c r="B90" s="836">
        <v>11.1</v>
      </c>
      <c r="C90" s="189" t="s">
        <v>140</v>
      </c>
      <c r="D90" s="68">
        <v>75</v>
      </c>
    </row>
    <row r="91" spans="1:4" ht="12.6" customHeight="1">
      <c r="A91" s="836">
        <v>74</v>
      </c>
      <c r="B91" s="836" t="s">
        <v>1284</v>
      </c>
      <c r="C91" s="189" t="s">
        <v>141</v>
      </c>
      <c r="D91" s="68">
        <v>76</v>
      </c>
    </row>
    <row r="92" spans="1:4" ht="12.6" customHeight="1">
      <c r="A92" s="836">
        <v>75</v>
      </c>
      <c r="B92" s="836">
        <v>11.2</v>
      </c>
      <c r="C92" s="189" t="s">
        <v>142</v>
      </c>
      <c r="D92" s="68">
        <v>76</v>
      </c>
    </row>
    <row r="93" spans="1:4" ht="12.6" customHeight="1">
      <c r="A93" s="836">
        <v>76</v>
      </c>
      <c r="B93" s="836">
        <v>11.3</v>
      </c>
      <c r="C93" s="189" t="s">
        <v>143</v>
      </c>
      <c r="D93" s="68">
        <v>77</v>
      </c>
    </row>
    <row r="94" spans="1:4" ht="12.6" customHeight="1">
      <c r="A94" s="836">
        <v>77</v>
      </c>
      <c r="B94" s="836">
        <v>11.4</v>
      </c>
      <c r="C94" s="189" t="s">
        <v>144</v>
      </c>
      <c r="D94" s="68">
        <v>77</v>
      </c>
    </row>
    <row r="95" spans="1:4">
      <c r="A95" s="595"/>
      <c r="B95" s="167"/>
      <c r="C95" s="594" t="s">
        <v>1920</v>
      </c>
      <c r="D95" s="68"/>
    </row>
    <row r="96" spans="1:4" ht="12.6" customHeight="1">
      <c r="A96" s="836">
        <v>78</v>
      </c>
      <c r="B96" s="836">
        <v>12.1</v>
      </c>
      <c r="C96" s="189" t="s">
        <v>145</v>
      </c>
      <c r="D96" s="68">
        <v>78</v>
      </c>
    </row>
    <row r="97" spans="1:4" ht="12.6" customHeight="1">
      <c r="A97" s="836">
        <v>79</v>
      </c>
      <c r="B97" s="836">
        <v>12.2</v>
      </c>
      <c r="C97" s="189" t="s">
        <v>146</v>
      </c>
      <c r="D97" s="68">
        <v>78</v>
      </c>
    </row>
    <row r="98" spans="1:4" ht="12.6" customHeight="1">
      <c r="A98" s="836">
        <v>80</v>
      </c>
      <c r="B98" s="836">
        <v>12.3</v>
      </c>
      <c r="C98" s="189" t="s">
        <v>166</v>
      </c>
      <c r="D98" s="68">
        <v>79</v>
      </c>
    </row>
    <row r="99" spans="1:4" ht="12.6" customHeight="1">
      <c r="A99" s="836">
        <v>81</v>
      </c>
      <c r="B99" s="836">
        <v>12.4</v>
      </c>
      <c r="C99" s="189" t="s">
        <v>147</v>
      </c>
      <c r="D99" s="68">
        <v>79</v>
      </c>
    </row>
    <row r="100" spans="1:4" ht="12.6" customHeight="1">
      <c r="A100" s="836">
        <v>82</v>
      </c>
      <c r="B100" s="836">
        <v>12.5</v>
      </c>
      <c r="C100" s="189" t="s">
        <v>148</v>
      </c>
      <c r="D100" s="68">
        <v>80</v>
      </c>
    </row>
    <row r="101" spans="1:4" ht="12.6" customHeight="1">
      <c r="A101" s="836">
        <v>83</v>
      </c>
      <c r="B101" s="836">
        <v>12.6</v>
      </c>
      <c r="C101" s="189" t="s">
        <v>744</v>
      </c>
      <c r="D101" s="68">
        <v>80</v>
      </c>
    </row>
    <row r="102" spans="1:4" ht="12.6" customHeight="1">
      <c r="A102" s="836">
        <v>84</v>
      </c>
      <c r="B102" s="836">
        <v>12.7</v>
      </c>
      <c r="C102" s="189" t="s">
        <v>608</v>
      </c>
      <c r="D102" s="68">
        <v>80</v>
      </c>
    </row>
    <row r="103" spans="1:4">
      <c r="A103" s="595"/>
      <c r="B103" s="167"/>
      <c r="C103" s="594" t="s">
        <v>1921</v>
      </c>
      <c r="D103" s="57"/>
    </row>
    <row r="104" spans="1:4" ht="12.6" customHeight="1">
      <c r="A104" s="836">
        <v>85</v>
      </c>
      <c r="B104" s="836">
        <v>13.1</v>
      </c>
      <c r="C104" s="189" t="s">
        <v>149</v>
      </c>
      <c r="D104" s="68">
        <v>81</v>
      </c>
    </row>
    <row r="105" spans="1:4" ht="12.6" customHeight="1">
      <c r="A105" s="836">
        <v>86</v>
      </c>
      <c r="B105" s="836">
        <v>13.2</v>
      </c>
      <c r="C105" s="189" t="s">
        <v>745</v>
      </c>
      <c r="D105" s="68">
        <v>82</v>
      </c>
    </row>
    <row r="106" spans="1:4" ht="12.6" customHeight="1">
      <c r="A106" s="836">
        <v>87</v>
      </c>
      <c r="B106" s="836">
        <v>13.3</v>
      </c>
      <c r="C106" s="189" t="s">
        <v>152</v>
      </c>
      <c r="D106" s="68">
        <v>82</v>
      </c>
    </row>
    <row r="107" spans="1:4">
      <c r="A107" s="838"/>
      <c r="B107" s="167"/>
      <c r="C107" s="594" t="s">
        <v>1922</v>
      </c>
      <c r="D107" s="68"/>
    </row>
    <row r="108" spans="1:4" ht="12.6" customHeight="1">
      <c r="A108" s="836">
        <v>88</v>
      </c>
      <c r="B108" s="836">
        <v>14.1</v>
      </c>
      <c r="C108" s="189" t="s">
        <v>153</v>
      </c>
      <c r="D108" s="68">
        <v>83</v>
      </c>
    </row>
    <row r="109" spans="1:4" ht="12.6" customHeight="1">
      <c r="A109" s="836">
        <v>89</v>
      </c>
      <c r="B109" s="836">
        <v>14.2</v>
      </c>
      <c r="C109" s="189" t="s">
        <v>746</v>
      </c>
      <c r="D109" s="68">
        <v>83</v>
      </c>
    </row>
    <row r="110" spans="1:4">
      <c r="A110" s="595"/>
      <c r="B110" s="167"/>
      <c r="C110" s="594" t="s">
        <v>1923</v>
      </c>
      <c r="D110" s="57"/>
    </row>
    <row r="111" spans="1:4" ht="12.6" customHeight="1">
      <c r="A111" s="836">
        <v>90</v>
      </c>
      <c r="B111" s="836">
        <v>15.1</v>
      </c>
      <c r="C111" s="189" t="s">
        <v>362</v>
      </c>
      <c r="D111" s="68">
        <v>84</v>
      </c>
    </row>
    <row r="112" spans="1:4" ht="12.6" customHeight="1">
      <c r="A112" s="836">
        <v>91</v>
      </c>
      <c r="B112" s="836">
        <v>15.2</v>
      </c>
      <c r="C112" s="189" t="s">
        <v>167</v>
      </c>
      <c r="D112" s="68">
        <v>85</v>
      </c>
    </row>
    <row r="113" spans="1:4">
      <c r="A113" s="838"/>
      <c r="B113" s="167"/>
      <c r="C113" s="594" t="s">
        <v>1924</v>
      </c>
      <c r="D113" s="68"/>
    </row>
    <row r="114" spans="1:4" ht="12.6" customHeight="1">
      <c r="A114" s="836">
        <v>92</v>
      </c>
      <c r="B114" s="836">
        <v>16.100000000000001</v>
      </c>
      <c r="C114" s="189" t="s">
        <v>168</v>
      </c>
      <c r="D114" s="68">
        <v>89</v>
      </c>
    </row>
    <row r="115" spans="1:4" ht="12.6" customHeight="1">
      <c r="A115" s="836">
        <v>93</v>
      </c>
      <c r="B115" s="836">
        <v>17.100000000000001</v>
      </c>
      <c r="C115" s="189" t="s">
        <v>747</v>
      </c>
      <c r="D115" s="68">
        <v>90</v>
      </c>
    </row>
    <row r="116" spans="1:4" ht="12.6" customHeight="1">
      <c r="A116" s="836">
        <v>94</v>
      </c>
      <c r="B116" s="836">
        <v>17.2</v>
      </c>
      <c r="C116" s="189" t="s">
        <v>169</v>
      </c>
      <c r="D116" s="68">
        <v>92</v>
      </c>
    </row>
    <row r="117" spans="1:4" ht="12.6" customHeight="1">
      <c r="A117" s="836">
        <v>95</v>
      </c>
      <c r="B117" s="836">
        <v>18.100000000000001</v>
      </c>
      <c r="C117" s="189" t="s">
        <v>174</v>
      </c>
      <c r="D117" s="68">
        <v>93</v>
      </c>
    </row>
    <row r="118" spans="1:4" ht="12.6" customHeight="1">
      <c r="A118" s="836">
        <v>96</v>
      </c>
      <c r="B118" s="836">
        <v>18.2</v>
      </c>
      <c r="C118" s="189" t="s">
        <v>170</v>
      </c>
      <c r="D118" s="68">
        <v>95</v>
      </c>
    </row>
    <row r="119" spans="1:4" ht="12.6" customHeight="1">
      <c r="A119" s="836">
        <v>97</v>
      </c>
      <c r="B119" s="836">
        <v>18.3</v>
      </c>
      <c r="C119" s="189" t="s">
        <v>171</v>
      </c>
      <c r="D119" s="68">
        <v>96</v>
      </c>
    </row>
    <row r="120" spans="1:4" ht="12.6" customHeight="1">
      <c r="A120" s="836">
        <v>98</v>
      </c>
      <c r="B120" s="836">
        <v>19.100000000000001</v>
      </c>
      <c r="C120" s="189" t="s">
        <v>1034</v>
      </c>
      <c r="D120" s="68">
        <v>97</v>
      </c>
    </row>
    <row r="121" spans="1:4" ht="12.6" customHeight="1">
      <c r="A121" s="836">
        <v>99</v>
      </c>
      <c r="B121" s="836">
        <v>20.100000000000001</v>
      </c>
      <c r="C121" s="189" t="s">
        <v>748</v>
      </c>
      <c r="D121" s="68">
        <v>98</v>
      </c>
    </row>
    <row r="122" spans="1:4" ht="12.6" customHeight="1">
      <c r="A122" s="836">
        <v>100</v>
      </c>
      <c r="B122" s="836">
        <v>20.2</v>
      </c>
      <c r="C122" s="189" t="s">
        <v>609</v>
      </c>
      <c r="D122" s="68">
        <v>99</v>
      </c>
    </row>
    <row r="123" spans="1:4" ht="12" customHeight="1">
      <c r="A123" s="836">
        <v>101</v>
      </c>
      <c r="B123" s="836">
        <v>21.1</v>
      </c>
      <c r="C123" s="189" t="s">
        <v>172</v>
      </c>
      <c r="D123" s="68">
        <v>100</v>
      </c>
    </row>
    <row r="124" spans="1:4" ht="12.6" customHeight="1">
      <c r="A124" s="840">
        <v>102</v>
      </c>
      <c r="B124" s="840">
        <v>21.2</v>
      </c>
      <c r="C124" s="319" t="s">
        <v>173</v>
      </c>
      <c r="D124" s="69">
        <v>101</v>
      </c>
    </row>
    <row r="126" spans="1:4">
      <c r="A126" s="2"/>
      <c r="B126" s="2"/>
      <c r="C126" s="2"/>
      <c r="D126" s="2"/>
    </row>
    <row r="127" spans="1:4">
      <c r="A127" s="2"/>
      <c r="B127" s="2"/>
      <c r="C127" s="2"/>
      <c r="D127" s="2"/>
    </row>
    <row r="128" spans="1:4">
      <c r="A128" s="1700" t="s">
        <v>1145</v>
      </c>
      <c r="B128" s="1700"/>
      <c r="C128" s="1700"/>
      <c r="D128" s="1700"/>
    </row>
  </sheetData>
  <mergeCells count="3">
    <mergeCell ref="A1:D1"/>
    <mergeCell ref="A128:D128"/>
    <mergeCell ref="A64:D64"/>
  </mergeCells>
  <phoneticPr fontId="0" type="noConversion"/>
  <hyperlinks>
    <hyperlink ref="A4:B4" location="'1.1,1.2'!A1" display="'1.1,1.2'!A1"/>
    <hyperlink ref="A5:B5" location="'1.1,1.2'!A1" display="'1.1,1.2'!A1"/>
    <hyperlink ref="A6:B6" location="'1.3'!A1" display="'1.3'!A1"/>
    <hyperlink ref="A7:B7" location="'1.4'!A1" display="'1.4'!A1"/>
    <hyperlink ref="A9:B9" location="'2.1'!A1" display="'2.1'!A1"/>
    <hyperlink ref="A10:B10" location="'2.1a,2.1b'!A1" display="'2.1a,2.1b'!A1"/>
    <hyperlink ref="A11:B11" location="'2.1a,2.1b'!A1" display="'2.1a,2.1b'!A1"/>
    <hyperlink ref="A12:B12" location="'2.2'!A1" display="'2.2'!A1"/>
    <hyperlink ref="A13:B13" location="'2.3'!A1" display="'2.3'!A1"/>
    <hyperlink ref="A14:B14" location="'2.4a'!A1" display="'2.4a'!A1"/>
    <hyperlink ref="A15:B15" location="'2.4b'!A1" display="'2.4b'!A1"/>
    <hyperlink ref="A16:B16" location="'2.5a'!A1" display="'2.5a'!A1"/>
    <hyperlink ref="A17:B17" location="'2.5b'!A1" display="'2.5b'!A1"/>
    <hyperlink ref="A18:B18" location="'2.6'!A1" display="'2.6'!A1"/>
    <hyperlink ref="A19:B19" location="'2.7'!A1" display="'2.7'!A1"/>
    <hyperlink ref="A20:B20" location="'2.8'!A1" display="'2.8'!A1"/>
    <hyperlink ref="A21:B21" location="'2.9'!A1" display="'2.9'!A1"/>
    <hyperlink ref="A22:B22" location="'2.10'!A1" display="'2.10'!A1"/>
    <hyperlink ref="A23:B23" location="'2.10a'!A1" display="'2.10a'!A1"/>
    <hyperlink ref="A24:B24" location="'2.11'!A1" display="'2.11'!A1"/>
    <hyperlink ref="A26:B26" location="'3.1'!A1" display="'3.1'!A1"/>
    <hyperlink ref="A27:B27" location="'3.2'!A1" display="'3.2'!A1"/>
    <hyperlink ref="A28:B28" location="'3.2a'!A1" display="'3.2a'!A1"/>
    <hyperlink ref="A29:B29" location="'3.2'!A1" display="'3.2'!A1"/>
    <hyperlink ref="B29" location="'3.3'!A1" display="3.3"/>
    <hyperlink ref="A30:B30" location="'3.3a'!A1" display="'3.3a'!A1"/>
    <hyperlink ref="A32:B32" location="'4.1a'!A1" display="'4.1a'!A1"/>
    <hyperlink ref="A33:B33" location="'4.1b'!A1" display="'4.1b'!A1"/>
    <hyperlink ref="A34:B34" location="'4.1c'!A1" display="'4.1c'!A1"/>
    <hyperlink ref="A35:B35" location="'4.2a'!A1" display="'4.2a'!A1"/>
    <hyperlink ref="A36:B36" location="'4.2b'!A1" display="'4.2b'!A1"/>
    <hyperlink ref="A37:B37" location="'4.2c'!A1" display="'4.2c'!A1"/>
    <hyperlink ref="A38:B38" location="'4.3a'!A1" display="'4.3a'!A1"/>
    <hyperlink ref="A39:B39" location="'4.3b'!A1" display="'4.3b'!A1"/>
    <hyperlink ref="A40:B40" location="'4.3c'!A1" display="'4.3c'!A1"/>
    <hyperlink ref="A41:B41" location="'4.4'!A1" display="'4.4'!A1"/>
    <hyperlink ref="A42:B42" location="'4.5'!A1" display="'4.5'!A1"/>
    <hyperlink ref="A43:B43" location="'4.6'!A1" display="'4.6'!A1"/>
    <hyperlink ref="A44:B44" location="'4.7'!A1" display="'4.7'!A1"/>
    <hyperlink ref="A45:B45" location="'4.8'!A1" display="'4.8'!A1"/>
    <hyperlink ref="A47:B47" location="'5.1 ,5.1a'!A1" display="'5.1 ,5.1a'!A1"/>
    <hyperlink ref="A48:B48" location="'5.1 ,5.1a'!A1" display="'5.1 ,5.1a'!A1"/>
    <hyperlink ref="A49:B50" location="'5.1b,5.2'!A1" display="'5.1b,5.2'!A1"/>
    <hyperlink ref="A51:B51" location="'5.3'!A1" display="'5.3'!A1"/>
    <hyperlink ref="A52:B52" location="'5.3a'!A1" display="'5.3a'!A1"/>
    <hyperlink ref="A53:B54" location="'5.3b,5.3c'!A1" display="'5.3b,5.3c'!A1"/>
    <hyperlink ref="A55:B55" location="'5.3d'!A1" display="'5.3d'!A1"/>
    <hyperlink ref="A56:B56" location="'5.3e'!A1" display="'5.3e'!A1"/>
    <hyperlink ref="B57" location="'5.4'!A1" display="'5.4'!A1"/>
    <hyperlink ref="A58:B58" location="'5.5,5.5a'!A1" display="'5.5,5.5a'!A1"/>
    <hyperlink ref="A59:B59" location="'5.5,5.5a'!A1" display="'5.5,5.5a'!A1"/>
    <hyperlink ref="A60:B60" location="'5.6,5.7,5.8'!A1" display="'5.6,5.7,5.8'!A1"/>
    <hyperlink ref="A61:B62" location="'5.6,5.7,5.8'!A1" display="'5.6,5.7,5.8'!A1"/>
    <hyperlink ref="A68:B68" location="'6.1'!A1" display="'6.1'!A1"/>
    <hyperlink ref="A69:B69" location="'6.2'!A1" display="'6.2'!A1"/>
    <hyperlink ref="A71:B71" location="'7.1'!A1" display="'7.1'!A1"/>
    <hyperlink ref="A72:B73" location="'7.2,7.3'!A1" display="'7.2,7.3'!A1"/>
    <hyperlink ref="A75:B76" location="'8.1,8.2'!A1" display="'8.1,8.2'!A1"/>
    <hyperlink ref="A77:B77" location="'8.2a'!A1" display="'8.2a'!A1"/>
    <hyperlink ref="A78:B78" location="'8.3'!A1" display="'8.3'!A1"/>
    <hyperlink ref="A79:B79" location="'8.4'!A1" display="'8.4'!A1"/>
    <hyperlink ref="A81:B81" location="'9.1'!A1" display="'9.1'!A1"/>
    <hyperlink ref="A82:B82" location="'9.2'!A1" display="'9.2'!A1"/>
    <hyperlink ref="A83:B84" location="'9.2a,9.2b'!A1" display="'9.2a,9.2b'!A1"/>
    <hyperlink ref="A86:B87" location="'10.1,10.2'!A1" display="'10.1,10.2'!A1"/>
    <hyperlink ref="A88:B88" location="'10.3'!A1" display="'10.3'!A1"/>
    <hyperlink ref="A90:B90" location="'11.1'!A1" display="'11.1'!A1"/>
    <hyperlink ref="A91:B92" location="'11.1a,11.2'!A1" display="'11.1a,11.2'!A1"/>
    <hyperlink ref="A93:B94" location="'11.3,11.4'!A1" display="'11.3,11.4'!A1"/>
    <hyperlink ref="A96:B97" location="'12.1,12.2'!A1" display="'12.1,12.2'!A1"/>
    <hyperlink ref="A98:B99" location="'12.3,12.4'!A1" display="'12.3,12.4'!A1"/>
    <hyperlink ref="A100:B102" location="'12.5,12.6,12.7'!A1" display="'12.5,12.6,12.7'!A1"/>
    <hyperlink ref="A104:B104" location="'13.1'!A1" display="'13.1'!A1"/>
    <hyperlink ref="A105:B106" location="'13.2,13.3'!A1" display="'13.2,13.3'!A1"/>
    <hyperlink ref="A108:B109" location="'14.1,14.2'!A1" display="'14.1,14.2'!A1"/>
    <hyperlink ref="A111:B111" location="'15.1'!A1" display="'15.1'!A1"/>
    <hyperlink ref="A112:B112" location="'15.2'!A1" display="'15.2'!A1"/>
    <hyperlink ref="A114:B114" location="'16.1'!A1" display="'16.1'!A1"/>
    <hyperlink ref="A115:B115" location="'17.1'!A1" display="'17.1'!A1"/>
    <hyperlink ref="A116:B116" location="'17.2'!A1" display="'17.2'!A1"/>
    <hyperlink ref="A117:B117" location="'18.1'!A1" display="'18.1'!A1"/>
    <hyperlink ref="A118:B118" location="'18.2'!A1" display="'18.2'!A1"/>
    <hyperlink ref="A119:B119" location="'18.3'!A1" display="'18.3'!A1"/>
    <hyperlink ref="A120:B120" location="'19.1'!A1" display="'19.1'!A1"/>
    <hyperlink ref="A121:B121" location="'20.1'!A1" display="'20.1'!A1"/>
    <hyperlink ref="A122:B122" location="'20.2'!A1" display="'20.2'!A1"/>
    <hyperlink ref="A123:B123" location="'21.1'!A1" display="'21.1'!A1"/>
    <hyperlink ref="A124:B124" location="'21.2'!A1" display="'21.2'!A1"/>
    <hyperlink ref="B6" location="'1.3,1.4'!A1" display="1.3"/>
    <hyperlink ref="B7" location="'1.3,1.4'!A23" display="1.4"/>
    <hyperlink ref="B4" location="'1.1,1.2'!A2" display="1.1"/>
    <hyperlink ref="A4" location="'1.1,1.2'!A2" display="'1.1,1.2'!A2"/>
    <hyperlink ref="A5" location="'1.1,1.2'!A10" display="'1.1,1.2'!A10"/>
    <hyperlink ref="B5" location="'1.1,1.2'!A10" display="1.2"/>
  </hyperlinks>
  <printOptions horizontalCentered="1"/>
  <pageMargins left="0.2" right="0.1" top="0.37" bottom="0.1" header="0.46" footer="0.5"/>
  <pageSetup paperSize="9" orientation="portrait" blackAndWhite="1" r:id="rId1"/>
  <headerFooter alignWithMargins="0"/>
  <rowBreaks count="1" manualBreakCount="1">
    <brk id="64" max="16383" man="1"/>
  </rowBreaks>
</worksheet>
</file>

<file path=xl/worksheets/sheet40.xml><?xml version="1.0" encoding="utf-8"?>
<worksheet xmlns="http://schemas.openxmlformats.org/spreadsheetml/2006/main" xmlns:r="http://schemas.openxmlformats.org/officeDocument/2006/relationships">
  <sheetPr codeName="Sheet36"/>
  <dimension ref="A1:D58"/>
  <sheetViews>
    <sheetView workbookViewId="0">
      <selection activeCell="J11" sqref="J11"/>
    </sheetView>
  </sheetViews>
  <sheetFormatPr defaultRowHeight="12.4" customHeight="1"/>
  <cols>
    <col min="1" max="1" width="24.7109375" customWidth="1"/>
    <col min="2" max="2" width="18.28515625" bestFit="1" customWidth="1"/>
    <col min="3" max="3" width="20.42578125" customWidth="1"/>
    <col min="4" max="4" width="20.7109375" customWidth="1"/>
  </cols>
  <sheetData>
    <row r="1" spans="1:4" ht="13.5" customHeight="1">
      <c r="A1" s="1739" t="s">
        <v>1780</v>
      </c>
      <c r="B1" s="1739"/>
      <c r="C1" s="1739"/>
      <c r="D1" s="1739"/>
    </row>
    <row r="2" spans="1:4" ht="18" customHeight="1">
      <c r="A2" s="1949" t="str">
        <f>CONCATENATE("Cinema Houses in the district of ",District!A1)</f>
        <v>Cinema Houses in the district of South 24-Parganas</v>
      </c>
      <c r="B2" s="1949"/>
      <c r="C2" s="1949"/>
      <c r="D2" s="1949"/>
    </row>
    <row r="3" spans="1:4" ht="26.25" customHeight="1">
      <c r="A3" s="631" t="s">
        <v>671</v>
      </c>
      <c r="B3" s="631" t="s">
        <v>272</v>
      </c>
      <c r="C3" s="252" t="s">
        <v>632</v>
      </c>
      <c r="D3" s="694" t="s">
        <v>633</v>
      </c>
    </row>
    <row r="4" spans="1:4" ht="14.25" customHeight="1">
      <c r="A4" s="969" t="s">
        <v>928</v>
      </c>
      <c r="B4" s="119" t="s">
        <v>929</v>
      </c>
      <c r="C4" s="199" t="s">
        <v>930</v>
      </c>
      <c r="D4" s="120" t="s">
        <v>931</v>
      </c>
    </row>
    <row r="5" spans="1:4" ht="14.25" customHeight="1">
      <c r="A5" s="293" t="s">
        <v>1317</v>
      </c>
      <c r="B5" s="374">
        <v>31</v>
      </c>
      <c r="C5" s="374">
        <v>24240</v>
      </c>
      <c r="D5" s="374">
        <v>6458082</v>
      </c>
    </row>
    <row r="6" spans="1:4" ht="14.25" customHeight="1">
      <c r="A6" s="293" t="s">
        <v>221</v>
      </c>
      <c r="B6" s="82">
        <v>32</v>
      </c>
      <c r="C6" s="82">
        <v>24838</v>
      </c>
      <c r="D6" s="82">
        <v>2133859</v>
      </c>
    </row>
    <row r="7" spans="1:4" ht="14.25" customHeight="1">
      <c r="A7" s="293" t="s">
        <v>1301</v>
      </c>
      <c r="B7" s="374">
        <v>29</v>
      </c>
      <c r="C7" s="374">
        <v>23020</v>
      </c>
      <c r="D7" s="374">
        <v>3413549</v>
      </c>
    </row>
    <row r="8" spans="1:4" ht="14.25" customHeight="1">
      <c r="A8" s="293" t="s">
        <v>621</v>
      </c>
      <c r="B8" s="374">
        <v>29</v>
      </c>
      <c r="C8" s="374">
        <v>23020</v>
      </c>
      <c r="D8" s="374">
        <v>2482015</v>
      </c>
    </row>
    <row r="9" spans="1:4" ht="14.25" customHeight="1">
      <c r="A9" s="970" t="s">
        <v>206</v>
      </c>
      <c r="B9" s="370">
        <f>SUM(B12,B21,B32,B37,B48)</f>
        <v>28</v>
      </c>
      <c r="C9" s="443">
        <f>SUM(C12,C21,C32,C37,C48)</f>
        <v>21382</v>
      </c>
      <c r="D9" s="374">
        <f>SUM(D12,D21,D32,D37,D48)</f>
        <v>3599635</v>
      </c>
    </row>
    <row r="10" spans="1:4" ht="27.75" customHeight="1">
      <c r="A10" s="910" t="s">
        <v>1457</v>
      </c>
      <c r="B10" s="1977" t="str">
        <f>"Year : "  &amp; A9</f>
        <v>Year : 2013-14</v>
      </c>
      <c r="C10" s="1978"/>
      <c r="D10" s="1979"/>
    </row>
    <row r="11" spans="1:4" ht="12.75" customHeight="1">
      <c r="A11" s="1390" t="s">
        <v>1734</v>
      </c>
      <c r="B11" s="395" t="s">
        <v>857</v>
      </c>
      <c r="C11" s="395" t="s">
        <v>857</v>
      </c>
      <c r="D11" s="392" t="s">
        <v>857</v>
      </c>
    </row>
    <row r="12" spans="1:4" ht="13.5" customHeight="1">
      <c r="A12" s="1391" t="s">
        <v>1778</v>
      </c>
      <c r="B12" s="171">
        <f>SUM(B13:B20)</f>
        <v>5</v>
      </c>
      <c r="C12" s="171">
        <f>SUM(C13:C20)</f>
        <v>4225</v>
      </c>
      <c r="D12" s="171">
        <f>SUM(D13:D20)</f>
        <v>844995</v>
      </c>
    </row>
    <row r="13" spans="1:4" ht="13.5" customHeight="1">
      <c r="A13" s="391" t="s">
        <v>757</v>
      </c>
      <c r="B13" s="1085" t="s">
        <v>1229</v>
      </c>
      <c r="C13" s="702" t="s">
        <v>1229</v>
      </c>
      <c r="D13" s="702" t="s">
        <v>1229</v>
      </c>
    </row>
    <row r="14" spans="1:4" ht="13.5" customHeight="1">
      <c r="A14" s="632" t="s">
        <v>1214</v>
      </c>
      <c r="B14" s="84">
        <v>1</v>
      </c>
      <c r="C14" s="77">
        <v>764</v>
      </c>
      <c r="D14" s="702">
        <v>3000</v>
      </c>
    </row>
    <row r="15" spans="1:4" ht="13.5" customHeight="1">
      <c r="A15" s="971" t="s">
        <v>1211</v>
      </c>
      <c r="B15" s="84">
        <v>1</v>
      </c>
      <c r="C15" s="77">
        <v>1155</v>
      </c>
      <c r="D15" s="702">
        <v>215000</v>
      </c>
    </row>
    <row r="16" spans="1:4" ht="13.5" customHeight="1">
      <c r="A16" s="971" t="s">
        <v>1212</v>
      </c>
      <c r="B16" s="1085" t="s">
        <v>1229</v>
      </c>
      <c r="C16" s="702" t="s">
        <v>1229</v>
      </c>
      <c r="D16" s="702" t="s">
        <v>1229</v>
      </c>
    </row>
    <row r="17" spans="1:4" ht="13.5" customHeight="1">
      <c r="A17" s="971" t="s">
        <v>1213</v>
      </c>
      <c r="B17" s="84">
        <v>1</v>
      </c>
      <c r="C17" s="77">
        <v>787</v>
      </c>
      <c r="D17" s="702">
        <v>48700</v>
      </c>
    </row>
    <row r="18" spans="1:4" ht="13.5" customHeight="1">
      <c r="A18" s="971" t="s">
        <v>1738</v>
      </c>
      <c r="B18" s="84">
        <v>1</v>
      </c>
      <c r="C18" s="77">
        <v>1007</v>
      </c>
      <c r="D18" s="702">
        <v>410000</v>
      </c>
    </row>
    <row r="19" spans="1:4" ht="13.5" customHeight="1">
      <c r="A19" s="971" t="s">
        <v>1715</v>
      </c>
      <c r="B19" s="84">
        <v>1</v>
      </c>
      <c r="C19" s="77">
        <v>512</v>
      </c>
      <c r="D19" s="702">
        <v>168295</v>
      </c>
    </row>
    <row r="20" spans="1:4" ht="13.5" customHeight="1">
      <c r="A20" s="971" t="s">
        <v>1740</v>
      </c>
      <c r="B20" s="1085" t="s">
        <v>1229</v>
      </c>
      <c r="C20" s="702" t="s">
        <v>1229</v>
      </c>
      <c r="D20" s="702" t="s">
        <v>1229</v>
      </c>
    </row>
    <row r="21" spans="1:4" ht="13.5" customHeight="1">
      <c r="A21" s="603" t="s">
        <v>314</v>
      </c>
      <c r="B21" s="192">
        <f>SUM(B22:B31)</f>
        <v>12</v>
      </c>
      <c r="C21" s="192">
        <v>8449</v>
      </c>
      <c r="D21" s="192">
        <f>SUM(D22:D31)</f>
        <v>1733550</v>
      </c>
    </row>
    <row r="22" spans="1:4" ht="13.5" customHeight="1">
      <c r="A22" s="971" t="s">
        <v>1218</v>
      </c>
      <c r="B22" s="1566" t="s">
        <v>1229</v>
      </c>
      <c r="C22" s="702" t="s">
        <v>1229</v>
      </c>
      <c r="D22" s="702" t="s">
        <v>1229</v>
      </c>
    </row>
    <row r="23" spans="1:4" ht="13.5" customHeight="1">
      <c r="A23" s="971" t="s">
        <v>759</v>
      </c>
      <c r="B23" s="261">
        <v>3</v>
      </c>
      <c r="C23" s="1567">
        <v>1266</v>
      </c>
      <c r="D23" s="702">
        <v>205650</v>
      </c>
    </row>
    <row r="24" spans="1:4" ht="13.5" customHeight="1">
      <c r="A24" s="971" t="s">
        <v>760</v>
      </c>
      <c r="B24" s="1085" t="s">
        <v>1229</v>
      </c>
      <c r="C24" s="702" t="s">
        <v>1229</v>
      </c>
      <c r="D24" s="702" t="s">
        <v>1229</v>
      </c>
    </row>
    <row r="25" spans="1:4" ht="13.5" customHeight="1">
      <c r="A25" s="971" t="s">
        <v>1194</v>
      </c>
      <c r="B25" s="1085" t="s">
        <v>1229</v>
      </c>
      <c r="C25" s="702" t="s">
        <v>1229</v>
      </c>
      <c r="D25" s="702" t="s">
        <v>1229</v>
      </c>
    </row>
    <row r="26" spans="1:4" ht="13.5" customHeight="1">
      <c r="A26" s="971" t="s">
        <v>1221</v>
      </c>
      <c r="B26" s="84">
        <v>2</v>
      </c>
      <c r="C26" s="77">
        <v>1615</v>
      </c>
      <c r="D26" s="702">
        <v>424000</v>
      </c>
    </row>
    <row r="27" spans="1:4" ht="13.5" customHeight="1">
      <c r="A27" s="971" t="s">
        <v>761</v>
      </c>
      <c r="B27" s="84">
        <v>1</v>
      </c>
      <c r="C27" s="77">
        <v>526</v>
      </c>
      <c r="D27" s="702">
        <v>17000</v>
      </c>
    </row>
    <row r="28" spans="1:4" ht="13.5" customHeight="1">
      <c r="A28" s="971" t="s">
        <v>762</v>
      </c>
      <c r="B28" s="84">
        <v>2</v>
      </c>
      <c r="C28" s="77">
        <v>1621</v>
      </c>
      <c r="D28" s="702">
        <v>415000</v>
      </c>
    </row>
    <row r="29" spans="1:4" ht="13.5" customHeight="1">
      <c r="A29" s="971" t="s">
        <v>836</v>
      </c>
      <c r="B29" s="84">
        <v>1</v>
      </c>
      <c r="C29" s="85">
        <v>555</v>
      </c>
      <c r="D29" s="702">
        <v>142200</v>
      </c>
    </row>
    <row r="30" spans="1:4" ht="13.5" customHeight="1">
      <c r="A30" s="971" t="s">
        <v>1742</v>
      </c>
      <c r="B30" s="84">
        <v>3</v>
      </c>
      <c r="C30" s="77">
        <v>2866</v>
      </c>
      <c r="D30" s="702">
        <v>529700</v>
      </c>
    </row>
    <row r="31" spans="1:4" ht="13.5" customHeight="1">
      <c r="A31" s="971" t="s">
        <v>1743</v>
      </c>
      <c r="B31" s="373" t="s">
        <v>1229</v>
      </c>
      <c r="C31" s="77" t="s">
        <v>1229</v>
      </c>
      <c r="D31" s="77" t="s">
        <v>1229</v>
      </c>
    </row>
    <row r="32" spans="1:4" ht="13.5" customHeight="1">
      <c r="A32" s="497" t="s">
        <v>315</v>
      </c>
      <c r="B32" s="367">
        <f>SUM(B33:B36)</f>
        <v>1</v>
      </c>
      <c r="C32" s="192">
        <f>SUM(C33:C36)</f>
        <v>916</v>
      </c>
      <c r="D32" s="192">
        <f>SUM(D33:D36)</f>
        <v>158500</v>
      </c>
    </row>
    <row r="33" spans="1:4" ht="13.5" customHeight="1">
      <c r="A33" s="971" t="s">
        <v>1223</v>
      </c>
      <c r="B33" s="261">
        <v>1</v>
      </c>
      <c r="C33" s="77">
        <v>916</v>
      </c>
      <c r="D33" s="702">
        <v>158500</v>
      </c>
    </row>
    <row r="34" spans="1:4" ht="13.5" customHeight="1">
      <c r="A34" s="971" t="s">
        <v>1224</v>
      </c>
      <c r="B34" s="261" t="s">
        <v>1229</v>
      </c>
      <c r="C34" s="77" t="s">
        <v>1229</v>
      </c>
      <c r="D34" s="77" t="s">
        <v>1229</v>
      </c>
    </row>
    <row r="35" spans="1:4" ht="13.5" customHeight="1">
      <c r="A35" s="971" t="s">
        <v>1197</v>
      </c>
      <c r="B35" s="261" t="s">
        <v>1229</v>
      </c>
      <c r="C35" s="77" t="s">
        <v>1229</v>
      </c>
      <c r="D35" s="77" t="s">
        <v>1229</v>
      </c>
    </row>
    <row r="36" spans="1:4" ht="13.5" customHeight="1">
      <c r="A36" s="971" t="s">
        <v>1198</v>
      </c>
      <c r="B36" s="261" t="s">
        <v>1229</v>
      </c>
      <c r="C36" s="77" t="s">
        <v>1229</v>
      </c>
      <c r="D36" s="77" t="s">
        <v>1229</v>
      </c>
    </row>
    <row r="37" spans="1:4" ht="13.5" customHeight="1">
      <c r="A37" s="497" t="s">
        <v>25</v>
      </c>
      <c r="B37" s="367">
        <f>SUM(B38:B47)</f>
        <v>8</v>
      </c>
      <c r="C37" s="192">
        <f>SUM(C38:C47)</f>
        <v>6339</v>
      </c>
      <c r="D37" s="192">
        <f>SUM(D38:D47)</f>
        <v>735924</v>
      </c>
    </row>
    <row r="38" spans="1:4" ht="13.5" customHeight="1">
      <c r="A38" s="971" t="s">
        <v>1225</v>
      </c>
      <c r="B38" s="261">
        <v>1</v>
      </c>
      <c r="C38" s="77">
        <v>600</v>
      </c>
      <c r="D38" s="702">
        <v>3060</v>
      </c>
    </row>
    <row r="39" spans="1:4" ht="13.5" customHeight="1">
      <c r="A39" s="971" t="s">
        <v>1226</v>
      </c>
      <c r="B39" s="261">
        <v>1</v>
      </c>
      <c r="C39" s="77">
        <v>855</v>
      </c>
      <c r="D39" s="702">
        <v>283624</v>
      </c>
    </row>
    <row r="40" spans="1:4" ht="13.5" customHeight="1">
      <c r="A40" s="971" t="s">
        <v>837</v>
      </c>
      <c r="B40" s="261">
        <v>1</v>
      </c>
      <c r="C40" s="77">
        <v>746</v>
      </c>
      <c r="D40" s="702">
        <v>68280</v>
      </c>
    </row>
    <row r="41" spans="1:4" ht="13.5" customHeight="1">
      <c r="A41" s="971" t="s">
        <v>1203</v>
      </c>
      <c r="B41" s="261" t="s">
        <v>1229</v>
      </c>
      <c r="C41" s="77" t="s">
        <v>1229</v>
      </c>
      <c r="D41" s="77" t="s">
        <v>1229</v>
      </c>
    </row>
    <row r="42" spans="1:4" ht="13.5" customHeight="1">
      <c r="A42" s="971" t="s">
        <v>1204</v>
      </c>
      <c r="B42" s="261">
        <v>1</v>
      </c>
      <c r="C42" s="77">
        <v>725</v>
      </c>
      <c r="D42" s="702">
        <v>29160</v>
      </c>
    </row>
    <row r="43" spans="1:4" ht="13.5" customHeight="1">
      <c r="A43" s="971" t="s">
        <v>1744</v>
      </c>
      <c r="B43" s="261">
        <v>1</v>
      </c>
      <c r="C43" s="77">
        <v>1002</v>
      </c>
      <c r="D43" s="702">
        <v>45875</v>
      </c>
    </row>
    <row r="44" spans="1:4" ht="13.5" customHeight="1">
      <c r="A44" s="971" t="s">
        <v>1745</v>
      </c>
      <c r="B44" s="261" t="s">
        <v>1229</v>
      </c>
      <c r="C44" s="77" t="s">
        <v>1229</v>
      </c>
      <c r="D44" s="77" t="s">
        <v>1229</v>
      </c>
    </row>
    <row r="45" spans="1:4" ht="13.5" customHeight="1">
      <c r="A45" s="971" t="s">
        <v>1227</v>
      </c>
      <c r="B45" s="261" t="s">
        <v>1229</v>
      </c>
      <c r="C45" s="77" t="s">
        <v>1229</v>
      </c>
      <c r="D45" s="77" t="s">
        <v>1229</v>
      </c>
    </row>
    <row r="46" spans="1:4" ht="13.5" customHeight="1">
      <c r="A46" s="971" t="s">
        <v>1228</v>
      </c>
      <c r="B46" s="261">
        <v>1</v>
      </c>
      <c r="C46" s="77">
        <v>725</v>
      </c>
      <c r="D46" s="702">
        <v>30820</v>
      </c>
    </row>
    <row r="47" spans="1:4" ht="13.5" customHeight="1">
      <c r="A47" s="971" t="s">
        <v>838</v>
      </c>
      <c r="B47" s="261">
        <v>2</v>
      </c>
      <c r="C47" s="77">
        <v>1686</v>
      </c>
      <c r="D47" s="702">
        <v>275105</v>
      </c>
    </row>
    <row r="48" spans="1:4" ht="13.5" customHeight="1">
      <c r="A48" s="497" t="s">
        <v>317</v>
      </c>
      <c r="B48" s="367">
        <f>SUM(B49:B52)</f>
        <v>2</v>
      </c>
      <c r="C48" s="192">
        <f>SUM(C49:C52)</f>
        <v>1453</v>
      </c>
      <c r="D48" s="192">
        <f>SUM(D49:D52)</f>
        <v>126666</v>
      </c>
    </row>
    <row r="49" spans="1:4" ht="13.5" customHeight="1">
      <c r="A49" s="971" t="s">
        <v>1205</v>
      </c>
      <c r="B49" s="261">
        <v>2</v>
      </c>
      <c r="C49" s="77">
        <v>1453</v>
      </c>
      <c r="D49" s="702">
        <v>126666</v>
      </c>
    </row>
    <row r="50" spans="1:4" ht="13.5" customHeight="1">
      <c r="A50" s="971" t="s">
        <v>1206</v>
      </c>
      <c r="B50" s="261" t="s">
        <v>1229</v>
      </c>
      <c r="C50" s="77" t="s">
        <v>1229</v>
      </c>
      <c r="D50" s="77" t="s">
        <v>1229</v>
      </c>
    </row>
    <row r="51" spans="1:4" ht="13.5" customHeight="1">
      <c r="A51" s="971" t="s">
        <v>1207</v>
      </c>
      <c r="B51" s="261" t="s">
        <v>1229</v>
      </c>
      <c r="C51" s="77" t="s">
        <v>1229</v>
      </c>
      <c r="D51" s="77" t="s">
        <v>1229</v>
      </c>
    </row>
    <row r="52" spans="1:4" ht="13.5" customHeight="1">
      <c r="A52" s="972" t="s">
        <v>1208</v>
      </c>
      <c r="B52" s="74" t="s">
        <v>1229</v>
      </c>
      <c r="C52" s="78" t="s">
        <v>1229</v>
      </c>
      <c r="D52" s="973" t="s">
        <v>1229</v>
      </c>
    </row>
    <row r="53" spans="1:4" ht="12" customHeight="1">
      <c r="A53" s="967"/>
      <c r="B53" s="1163" t="s">
        <v>570</v>
      </c>
      <c r="C53" s="1170" t="s">
        <v>1779</v>
      </c>
      <c r="D53" s="1170"/>
    </row>
    <row r="54" spans="1:4" ht="12" customHeight="1">
      <c r="A54" s="968"/>
      <c r="B54" s="1163" t="s">
        <v>615</v>
      </c>
      <c r="C54" s="1980" t="s">
        <v>388</v>
      </c>
      <c r="D54" s="1980"/>
    </row>
    <row r="55" spans="1:4" s="138" customFormat="1" ht="12.4" customHeight="1">
      <c r="B55" s="1171"/>
      <c r="C55" s="1976" t="s">
        <v>487</v>
      </c>
      <c r="D55" s="1976"/>
    </row>
    <row r="56" spans="1:4" ht="12.4" customHeight="1">
      <c r="A56" s="50"/>
      <c r="B56" s="50"/>
      <c r="C56" s="50"/>
      <c r="D56" s="52"/>
    </row>
    <row r="57" spans="1:4" ht="12.4" customHeight="1">
      <c r="A57" s="50"/>
      <c r="B57" s="50"/>
      <c r="C57" s="50"/>
      <c r="D57" s="50"/>
    </row>
    <row r="58" spans="1:4" ht="12.4" customHeight="1">
      <c r="A58" s="50"/>
      <c r="B58" s="50"/>
      <c r="C58" s="50"/>
      <c r="D58" s="50"/>
    </row>
  </sheetData>
  <mergeCells count="5">
    <mergeCell ref="C55:D55"/>
    <mergeCell ref="A1:D1"/>
    <mergeCell ref="A2:D2"/>
    <mergeCell ref="B10:D10"/>
    <mergeCell ref="C54:D54"/>
  </mergeCells>
  <phoneticPr fontId="0" type="noConversion"/>
  <conditionalFormatting sqref="A1:XFD1048576">
    <cfRule type="cellIs" dxfId="18" priority="1" stopIfTrue="1" operator="equal">
      <formula>".."</formula>
    </cfRule>
  </conditionalFormatting>
  <printOptions horizontalCentered="1"/>
  <pageMargins left="0.1" right="0.1" top="0.56000000000000005" bottom="0.1" header="0.23" footer="0.1"/>
  <pageSetup paperSize="9" orientation="portrait" blackAndWhite="1" r:id="rId1"/>
  <headerFooter alignWithMargins="0"/>
</worksheet>
</file>

<file path=xl/worksheets/sheet41.xml><?xml version="1.0" encoding="utf-8"?>
<worksheet xmlns="http://schemas.openxmlformats.org/spreadsheetml/2006/main" xmlns:r="http://schemas.openxmlformats.org/officeDocument/2006/relationships">
  <dimension ref="A1:G25"/>
  <sheetViews>
    <sheetView topLeftCell="A7" workbookViewId="0">
      <selection activeCell="J11" sqref="J11"/>
    </sheetView>
  </sheetViews>
  <sheetFormatPr defaultRowHeight="12.75"/>
  <cols>
    <col min="1" max="1" width="19.85546875" customWidth="1"/>
    <col min="2" max="7" width="15.7109375" customWidth="1"/>
  </cols>
  <sheetData>
    <row r="1" spans="1:7" ht="13.5" customHeight="1">
      <c r="A1" s="1765" t="s">
        <v>1784</v>
      </c>
      <c r="B1" s="1765"/>
      <c r="C1" s="1765"/>
      <c r="D1" s="1765"/>
      <c r="E1" s="1765"/>
      <c r="F1" s="1765"/>
      <c r="G1" s="1765"/>
    </row>
    <row r="2" spans="1:7" ht="21.75" customHeight="1">
      <c r="A2" s="1760" t="str">
        <f>CONCATENATE("Newspapers and Periodicals published in the district of ",District!A1)</f>
        <v>Newspapers and Periodicals published in the district of South 24-Parganas</v>
      </c>
      <c r="B2" s="1760"/>
      <c r="C2" s="1760"/>
      <c r="D2" s="1760"/>
      <c r="E2" s="1982"/>
      <c r="F2" s="1982"/>
      <c r="G2" s="1982"/>
    </row>
    <row r="3" spans="1:7" ht="13.5" customHeight="1">
      <c r="G3" s="107" t="s">
        <v>977</v>
      </c>
    </row>
    <row r="4" spans="1:7" ht="33.75" customHeight="1">
      <c r="A4" s="252" t="s">
        <v>31</v>
      </c>
      <c r="B4" s="260" t="s">
        <v>1294</v>
      </c>
      <c r="C4" s="447" t="s">
        <v>1295</v>
      </c>
      <c r="D4" s="260" t="s">
        <v>1296</v>
      </c>
      <c r="E4" s="447" t="s">
        <v>1297</v>
      </c>
      <c r="F4" s="260" t="s">
        <v>1111</v>
      </c>
      <c r="G4" s="337" t="s">
        <v>958</v>
      </c>
    </row>
    <row r="5" spans="1:7" ht="16.5" customHeight="1">
      <c r="A5" s="194" t="s">
        <v>928</v>
      </c>
      <c r="B5" s="199" t="s">
        <v>929</v>
      </c>
      <c r="C5" s="119" t="s">
        <v>930</v>
      </c>
      <c r="D5" s="199" t="s">
        <v>931</v>
      </c>
      <c r="E5" s="214" t="s">
        <v>932</v>
      </c>
      <c r="F5" s="123" t="s">
        <v>933</v>
      </c>
      <c r="G5" s="122" t="s">
        <v>934</v>
      </c>
    </row>
    <row r="6" spans="1:7" ht="27" customHeight="1">
      <c r="A6" s="501">
        <v>2010</v>
      </c>
      <c r="B6" s="85" t="s">
        <v>1229</v>
      </c>
      <c r="C6" s="79">
        <v>5</v>
      </c>
      <c r="D6" s="85">
        <v>15</v>
      </c>
      <c r="E6" s="39">
        <v>8</v>
      </c>
      <c r="F6" s="77">
        <v>9</v>
      </c>
      <c r="G6" s="82">
        <f>IF(SUM(B6:F6)=0,"-",SUM(B6:F6))</f>
        <v>37</v>
      </c>
    </row>
    <row r="7" spans="1:7" ht="27" customHeight="1">
      <c r="A7" s="501">
        <v>2011</v>
      </c>
      <c r="B7" s="77" t="s">
        <v>1229</v>
      </c>
      <c r="C7" s="39">
        <v>12</v>
      </c>
      <c r="D7" s="77">
        <v>11</v>
      </c>
      <c r="E7" s="39">
        <v>5</v>
      </c>
      <c r="F7" s="77">
        <v>8</v>
      </c>
      <c r="G7" s="82">
        <f>IF(SUM(B7:F7)=0,"-",SUM(B7:F7))</f>
        <v>36</v>
      </c>
    </row>
    <row r="8" spans="1:7" ht="27" customHeight="1">
      <c r="A8" s="501">
        <v>2012</v>
      </c>
      <c r="B8" s="77" t="s">
        <v>1229</v>
      </c>
      <c r="C8" s="39">
        <v>12</v>
      </c>
      <c r="D8" s="77">
        <v>12</v>
      </c>
      <c r="E8" s="39">
        <v>4</v>
      </c>
      <c r="F8" s="77">
        <v>8</v>
      </c>
      <c r="G8" s="82">
        <f>IF(SUM(B8:F8)=0,"-",SUM(B8:F8))</f>
        <v>36</v>
      </c>
    </row>
    <row r="9" spans="1:7" ht="27" customHeight="1">
      <c r="A9" s="501">
        <v>2013</v>
      </c>
      <c r="B9" s="393" t="s">
        <v>1229</v>
      </c>
      <c r="C9" s="372">
        <v>10</v>
      </c>
      <c r="D9" s="393">
        <v>9</v>
      </c>
      <c r="E9" s="372">
        <v>3</v>
      </c>
      <c r="F9" s="393">
        <v>4</v>
      </c>
      <c r="G9" s="82">
        <f>IF(SUM(B9:F9)=0,"-",SUM(B9:F9))</f>
        <v>26</v>
      </c>
    </row>
    <row r="10" spans="1:7" ht="27" customHeight="1">
      <c r="A10" s="501">
        <v>2014</v>
      </c>
      <c r="B10" s="441" t="str">
        <f>B17</f>
        <v>-</v>
      </c>
      <c r="C10" s="441">
        <v>12</v>
      </c>
      <c r="D10" s="441">
        <v>13</v>
      </c>
      <c r="E10" s="441">
        <v>8</v>
      </c>
      <c r="F10" s="441">
        <v>2</v>
      </c>
      <c r="G10" s="82">
        <f>IF(SUM(B10:F10)=0,"-",SUM(B10:F10))</f>
        <v>35</v>
      </c>
    </row>
    <row r="11" spans="1:7" ht="21.95" customHeight="1">
      <c r="A11" s="630" t="s">
        <v>41</v>
      </c>
      <c r="B11" s="1983" t="str">
        <f>"Year : " &amp; A10</f>
        <v>Year : 2014</v>
      </c>
      <c r="C11" s="1917"/>
      <c r="D11" s="1917"/>
      <c r="E11" s="1917"/>
      <c r="F11" s="1917"/>
      <c r="G11" s="1918"/>
    </row>
    <row r="12" spans="1:7" ht="27" customHeight="1">
      <c r="A12" s="629" t="s">
        <v>1298</v>
      </c>
      <c r="B12" s="370" t="s">
        <v>1229</v>
      </c>
      <c r="C12" s="650">
        <v>10</v>
      </c>
      <c r="D12" s="699">
        <v>13</v>
      </c>
      <c r="E12" s="699">
        <v>7</v>
      </c>
      <c r="F12" s="650">
        <v>2</v>
      </c>
      <c r="G12" s="82">
        <f>IF(SUM(B12:F12)=0,"-",SUM(B12:F12))</f>
        <v>32</v>
      </c>
    </row>
    <row r="13" spans="1:7" ht="27" customHeight="1">
      <c r="A13" s="629" t="s">
        <v>1299</v>
      </c>
      <c r="B13" s="370" t="s">
        <v>1229</v>
      </c>
      <c r="C13" s="711">
        <v>1</v>
      </c>
      <c r="D13" s="372" t="s">
        <v>1229</v>
      </c>
      <c r="E13" s="711" t="s">
        <v>1229</v>
      </c>
      <c r="F13" s="711" t="s">
        <v>1229</v>
      </c>
      <c r="G13" s="82">
        <f>IF(SUM(B13:F13)=0,"-",SUM(B13:F13))</f>
        <v>1</v>
      </c>
    </row>
    <row r="14" spans="1:7" ht="27" customHeight="1">
      <c r="A14" s="629" t="s">
        <v>1300</v>
      </c>
      <c r="B14" s="370" t="s">
        <v>1229</v>
      </c>
      <c r="C14" s="711">
        <v>1</v>
      </c>
      <c r="D14" s="1086" t="s">
        <v>1229</v>
      </c>
      <c r="E14" s="393" t="s">
        <v>1229</v>
      </c>
      <c r="F14" s="711" t="s">
        <v>1229</v>
      </c>
      <c r="G14" s="82">
        <f>IF(SUM(B14:F14)=0,"-",SUM(B14:F14))</f>
        <v>1</v>
      </c>
    </row>
    <row r="15" spans="1:7" ht="27" customHeight="1">
      <c r="A15" s="629" t="s">
        <v>1304</v>
      </c>
      <c r="B15" s="370" t="s">
        <v>1229</v>
      </c>
      <c r="C15" s="711" t="s">
        <v>1229</v>
      </c>
      <c r="D15" s="1086" t="s">
        <v>1229</v>
      </c>
      <c r="E15" s="711">
        <v>1</v>
      </c>
      <c r="F15" s="711" t="s">
        <v>1229</v>
      </c>
      <c r="G15" s="82">
        <f>IF(SUM(B15:F15)=0,"-",SUM(B15:F15))</f>
        <v>1</v>
      </c>
    </row>
    <row r="16" spans="1:7" ht="27" customHeight="1">
      <c r="A16" s="629" t="s">
        <v>1111</v>
      </c>
      <c r="B16" s="443" t="s">
        <v>1229</v>
      </c>
      <c r="C16" s="711" t="s">
        <v>1229</v>
      </c>
      <c r="D16" s="711" t="s">
        <v>1229</v>
      </c>
      <c r="E16" s="711" t="s">
        <v>1229</v>
      </c>
      <c r="F16" s="711" t="s">
        <v>1229</v>
      </c>
      <c r="G16" s="82" t="str">
        <f>IF(SUM(B16:F16)=0,"-",SUM(B16:F16))</f>
        <v>-</v>
      </c>
    </row>
    <row r="17" spans="1:7" ht="21.95" customHeight="1">
      <c r="A17" s="134" t="s">
        <v>958</v>
      </c>
      <c r="B17" s="482" t="str">
        <f t="shared" ref="B17:G17" si="0">IF(SUM(B12:B16)=0,"-",SUM(B12:B16))</f>
        <v>-</v>
      </c>
      <c r="C17" s="482">
        <f t="shared" si="0"/>
        <v>12</v>
      </c>
      <c r="D17" s="452">
        <f t="shared" si="0"/>
        <v>13</v>
      </c>
      <c r="E17" s="482">
        <f t="shared" si="0"/>
        <v>8</v>
      </c>
      <c r="F17" s="482">
        <f t="shared" si="0"/>
        <v>2</v>
      </c>
      <c r="G17" s="453">
        <f t="shared" si="0"/>
        <v>35</v>
      </c>
    </row>
    <row r="18" spans="1:7">
      <c r="A18" s="50"/>
      <c r="B18" s="50"/>
      <c r="C18" s="1981" t="str">
        <f>CONCATENATE("Source : Dist. Information &amp; Cultural Officer, ",District!A1)</f>
        <v>Source : Dist. Information &amp; Cultural Officer, South 24-Parganas</v>
      </c>
      <c r="D18" s="1981"/>
      <c r="E18" s="1981"/>
      <c r="F18" s="1981"/>
      <c r="G18" s="1981"/>
    </row>
    <row r="19" spans="1:7">
      <c r="A19" s="50"/>
      <c r="B19" s="50"/>
      <c r="C19" s="50"/>
      <c r="D19" s="50"/>
      <c r="E19" s="50"/>
      <c r="F19" s="50"/>
      <c r="G19" s="50"/>
    </row>
    <row r="20" spans="1:7">
      <c r="A20" s="50"/>
      <c r="B20" s="50"/>
      <c r="C20" s="50"/>
      <c r="D20" s="50"/>
      <c r="E20" s="50"/>
      <c r="F20" s="50"/>
      <c r="G20" s="50"/>
    </row>
    <row r="21" spans="1:7">
      <c r="A21" s="50"/>
      <c r="B21" s="50"/>
      <c r="C21" s="50"/>
      <c r="D21" s="50"/>
      <c r="E21" s="50"/>
      <c r="F21" s="50"/>
      <c r="G21" s="50"/>
    </row>
    <row r="22" spans="1:7">
      <c r="A22" s="50"/>
      <c r="B22" s="50"/>
      <c r="C22" s="50"/>
      <c r="D22" s="50"/>
      <c r="E22" s="50"/>
      <c r="F22" s="50"/>
      <c r="G22" s="50"/>
    </row>
    <row r="23" spans="1:7">
      <c r="A23" s="50"/>
      <c r="B23" s="50"/>
      <c r="C23" s="50"/>
      <c r="D23" s="50"/>
      <c r="E23" s="50"/>
      <c r="F23" s="50"/>
      <c r="G23" s="50"/>
    </row>
    <row r="24" spans="1:7">
      <c r="A24" s="50"/>
      <c r="B24" s="50"/>
      <c r="C24" s="50"/>
      <c r="D24" s="50"/>
      <c r="E24" s="50"/>
      <c r="F24" s="50"/>
      <c r="G24" s="50"/>
    </row>
    <row r="25" spans="1:7">
      <c r="A25" s="50"/>
      <c r="B25" s="50"/>
      <c r="C25" s="50"/>
      <c r="D25" s="50"/>
      <c r="E25" s="50"/>
      <c r="F25" s="50"/>
      <c r="G25" s="50"/>
    </row>
  </sheetData>
  <mergeCells count="4">
    <mergeCell ref="C18:G18"/>
    <mergeCell ref="A2:G2"/>
    <mergeCell ref="B11:G11"/>
    <mergeCell ref="A1:G1"/>
  </mergeCells>
  <phoneticPr fontId="0" type="noConversion"/>
  <printOptions horizontalCentered="1" verticalCentered="1"/>
  <pageMargins left="0.1" right="0.1" top="0" bottom="0.1" header="0.85" footer="0.1"/>
  <pageSetup paperSize="9" orientation="landscape" blackAndWhite="1" r:id="rId1"/>
  <headerFooter alignWithMargins="0"/>
</worksheet>
</file>

<file path=xl/worksheets/sheet42.xml><?xml version="1.0" encoding="utf-8"?>
<worksheet xmlns="http://schemas.openxmlformats.org/spreadsheetml/2006/main" xmlns:r="http://schemas.openxmlformats.org/officeDocument/2006/relationships">
  <dimension ref="A1:N27"/>
  <sheetViews>
    <sheetView topLeftCell="A10" workbookViewId="0">
      <selection activeCell="J11" sqref="J11"/>
    </sheetView>
  </sheetViews>
  <sheetFormatPr defaultRowHeight="12.75"/>
  <cols>
    <col min="1" max="1" width="9.85546875" customWidth="1"/>
    <col min="2" max="4" width="8.7109375" customWidth="1"/>
    <col min="5" max="5" width="8.5703125" customWidth="1"/>
    <col min="6" max="6" width="9.85546875" customWidth="1"/>
    <col min="7" max="7" width="11" customWidth="1"/>
    <col min="8" max="8" width="8.42578125" customWidth="1"/>
    <col min="9" max="9" width="9.42578125" customWidth="1"/>
    <col min="10" max="10" width="9.28515625" customWidth="1"/>
    <col min="11" max="11" width="10" customWidth="1"/>
    <col min="12" max="12" width="7.85546875" customWidth="1"/>
    <col min="13" max="13" width="8.85546875" customWidth="1"/>
    <col min="14" max="14" width="8.7109375" customWidth="1"/>
  </cols>
  <sheetData>
    <row r="1" spans="1:14" ht="13.5" customHeight="1">
      <c r="B1" s="1948" t="s">
        <v>1786</v>
      </c>
      <c r="C1" s="1948"/>
      <c r="D1" s="1948"/>
      <c r="E1" s="1948"/>
      <c r="F1" s="1948"/>
      <c r="G1" s="1948"/>
      <c r="H1" s="1948"/>
      <c r="I1" s="1948"/>
      <c r="J1" s="1948"/>
      <c r="K1" s="1948"/>
      <c r="L1" s="1948"/>
      <c r="M1" s="1948"/>
    </row>
    <row r="2" spans="1:14" ht="17.25" customHeight="1">
      <c r="B2" s="1975" t="str">
        <f>CONCATENATE("Classification of Land Utilisation Statistics in the district of ",District!A1)</f>
        <v>Classification of Land Utilisation Statistics in the district of South 24-Parganas</v>
      </c>
      <c r="C2" s="1975"/>
      <c r="D2" s="1975"/>
      <c r="E2" s="1975"/>
      <c r="F2" s="1975"/>
      <c r="G2" s="1975"/>
      <c r="H2" s="1975"/>
      <c r="I2" s="1975"/>
      <c r="J2" s="1975"/>
      <c r="K2" s="1975"/>
      <c r="L2" s="1975"/>
      <c r="M2" s="1975"/>
    </row>
    <row r="3" spans="1:14" ht="12" customHeight="1">
      <c r="C3" s="3"/>
      <c r="D3" s="3"/>
      <c r="E3" s="3"/>
      <c r="F3" s="3"/>
      <c r="G3" s="3"/>
      <c r="H3" s="3"/>
      <c r="I3" s="3"/>
      <c r="K3" s="250"/>
      <c r="L3" s="250"/>
      <c r="M3" s="106" t="s">
        <v>373</v>
      </c>
    </row>
    <row r="4" spans="1:14" s="10" customFormat="1" ht="78.75" customHeight="1">
      <c r="B4" s="1732" t="s">
        <v>671</v>
      </c>
      <c r="C4" s="1714"/>
      <c r="D4" s="659" t="s">
        <v>1305</v>
      </c>
      <c r="E4" s="252" t="s">
        <v>1842</v>
      </c>
      <c r="F4" s="909" t="s">
        <v>1306</v>
      </c>
      <c r="G4" s="252" t="s">
        <v>1351</v>
      </c>
      <c r="H4" s="989" t="s">
        <v>1352</v>
      </c>
      <c r="I4" s="917" t="s">
        <v>273</v>
      </c>
      <c r="J4" s="909" t="s">
        <v>12</v>
      </c>
      <c r="K4" s="252" t="s">
        <v>1143</v>
      </c>
      <c r="L4" s="909" t="s">
        <v>1353</v>
      </c>
      <c r="M4" s="252" t="s">
        <v>1354</v>
      </c>
    </row>
    <row r="5" spans="1:14" s="10" customFormat="1" ht="18.75" customHeight="1">
      <c r="B5" s="1716" t="s">
        <v>928</v>
      </c>
      <c r="C5" s="1797"/>
      <c r="D5" s="194" t="s">
        <v>929</v>
      </c>
      <c r="E5" s="194" t="s">
        <v>930</v>
      </c>
      <c r="F5" s="194" t="s">
        <v>931</v>
      </c>
      <c r="G5" s="194" t="s">
        <v>932</v>
      </c>
      <c r="H5" s="194" t="s">
        <v>933</v>
      </c>
      <c r="I5" s="194" t="s">
        <v>934</v>
      </c>
      <c r="J5" s="194" t="s">
        <v>959</v>
      </c>
      <c r="K5" s="194" t="s">
        <v>960</v>
      </c>
      <c r="L5" s="194" t="s">
        <v>961</v>
      </c>
      <c r="M5" s="194" t="s">
        <v>962</v>
      </c>
    </row>
    <row r="6" spans="1:14" ht="19.5" customHeight="1">
      <c r="B6" s="1993" t="s">
        <v>1317</v>
      </c>
      <c r="C6" s="1994"/>
      <c r="D6" s="270">
        <f>SUM(E6:M6)</f>
        <v>948.71</v>
      </c>
      <c r="E6" s="859">
        <v>426.3</v>
      </c>
      <c r="F6" s="270">
        <v>141.30000000000001</v>
      </c>
      <c r="G6" s="859">
        <v>0.47</v>
      </c>
      <c r="H6" s="1321" t="s">
        <v>1229</v>
      </c>
      <c r="I6" s="549">
        <v>2.69</v>
      </c>
      <c r="J6" s="321">
        <v>1.47</v>
      </c>
      <c r="K6" s="549">
        <v>0.03</v>
      </c>
      <c r="L6" s="321">
        <v>18.91</v>
      </c>
      <c r="M6" s="859">
        <v>357.54</v>
      </c>
    </row>
    <row r="7" spans="1:14" ht="19.5" customHeight="1">
      <c r="B7" s="1984" t="s">
        <v>221</v>
      </c>
      <c r="C7" s="1985"/>
      <c r="D7" s="270">
        <f>SUM(E7:M7)</f>
        <v>948.71</v>
      </c>
      <c r="E7" s="503">
        <v>426.3</v>
      </c>
      <c r="F7" s="270">
        <v>143.32</v>
      </c>
      <c r="G7" s="503">
        <v>7.0000000000000007E-2</v>
      </c>
      <c r="H7" s="270">
        <v>0.02</v>
      </c>
      <c r="I7" s="279">
        <v>2.56</v>
      </c>
      <c r="J7" s="321">
        <v>1.34</v>
      </c>
      <c r="K7" s="279">
        <v>0.01</v>
      </c>
      <c r="L7" s="321">
        <v>16.690000000000001</v>
      </c>
      <c r="M7" s="503">
        <v>358.4</v>
      </c>
    </row>
    <row r="8" spans="1:14" ht="19.5" customHeight="1">
      <c r="B8" s="1984" t="s">
        <v>1301</v>
      </c>
      <c r="C8" s="1985"/>
      <c r="D8" s="270">
        <f>SUM(E8:M8)</f>
        <v>948.71</v>
      </c>
      <c r="E8" s="503">
        <v>426.3</v>
      </c>
      <c r="F8" s="270">
        <v>143.75</v>
      </c>
      <c r="G8" s="503">
        <v>0.28000000000000003</v>
      </c>
      <c r="H8" s="270" t="s">
        <v>1229</v>
      </c>
      <c r="I8" s="279">
        <v>3.51</v>
      </c>
      <c r="J8" s="321">
        <v>0.44</v>
      </c>
      <c r="K8" s="279">
        <v>0.32</v>
      </c>
      <c r="L8" s="321">
        <v>14.81</v>
      </c>
      <c r="M8" s="503">
        <v>359.3</v>
      </c>
    </row>
    <row r="9" spans="1:14" ht="19.5" customHeight="1">
      <c r="B9" s="1984" t="s">
        <v>621</v>
      </c>
      <c r="C9" s="1985"/>
      <c r="D9" s="270">
        <f>SUM(E9:M9)</f>
        <v>948.71</v>
      </c>
      <c r="E9" s="503">
        <v>426.3</v>
      </c>
      <c r="F9" s="270">
        <v>144.47</v>
      </c>
      <c r="G9" s="503">
        <v>0.24</v>
      </c>
      <c r="H9" s="270" t="s">
        <v>1229</v>
      </c>
      <c r="I9" s="279">
        <v>3.34</v>
      </c>
      <c r="J9" s="321">
        <v>0.43</v>
      </c>
      <c r="K9" s="279">
        <v>0.25</v>
      </c>
      <c r="L9" s="321">
        <v>13.1</v>
      </c>
      <c r="M9" s="503">
        <v>360.58</v>
      </c>
    </row>
    <row r="10" spans="1:14" ht="19.5" customHeight="1">
      <c r="B10" s="1986" t="s">
        <v>206</v>
      </c>
      <c r="C10" s="1987"/>
      <c r="D10" s="731">
        <v>948.71</v>
      </c>
      <c r="E10" s="731">
        <v>426.3</v>
      </c>
      <c r="F10" s="858">
        <v>144.83199999999999</v>
      </c>
      <c r="G10" s="731">
        <v>0.19800000000000001</v>
      </c>
      <c r="H10" s="858" t="s">
        <v>1229</v>
      </c>
      <c r="I10" s="538">
        <v>3.4079999999999999</v>
      </c>
      <c r="J10" s="356">
        <v>0.39600000000000002</v>
      </c>
      <c r="K10" s="538">
        <v>0.182</v>
      </c>
      <c r="L10" s="356">
        <v>11.849</v>
      </c>
      <c r="M10" s="731">
        <v>361.54500000000002</v>
      </c>
    </row>
    <row r="11" spans="1:14">
      <c r="A11" s="50"/>
      <c r="B11" s="1017"/>
      <c r="C11" s="1017"/>
      <c r="D11" s="1017"/>
      <c r="E11" s="1017"/>
      <c r="F11" s="1017"/>
      <c r="G11" s="1017"/>
      <c r="H11" s="1159"/>
      <c r="I11" s="1159"/>
      <c r="J11" s="1159"/>
      <c r="K11" s="1009"/>
      <c r="L11" s="1009"/>
      <c r="M11" s="1159" t="s">
        <v>618</v>
      </c>
    </row>
    <row r="12" spans="1:14">
      <c r="A12" s="50"/>
      <c r="B12" s="50"/>
      <c r="C12" s="50"/>
      <c r="D12" s="50"/>
      <c r="E12" s="50"/>
      <c r="F12" s="102"/>
      <c r="G12" s="102"/>
      <c r="H12" s="108"/>
      <c r="I12" s="108"/>
      <c r="J12" s="108"/>
      <c r="M12" s="108"/>
    </row>
    <row r="13" spans="1:14" ht="14.25" customHeight="1">
      <c r="A13" s="1739" t="s">
        <v>1785</v>
      </c>
      <c r="B13" s="1739"/>
      <c r="C13" s="1739"/>
      <c r="D13" s="1739"/>
      <c r="E13" s="1739"/>
      <c r="F13" s="1739"/>
      <c r="G13" s="1739"/>
      <c r="H13" s="1739"/>
      <c r="I13" s="1739"/>
      <c r="J13" s="1739"/>
      <c r="K13" s="1739"/>
      <c r="L13" s="1739"/>
      <c r="M13" s="1739"/>
      <c r="N13" s="1739"/>
    </row>
    <row r="14" spans="1:14" ht="14.25" customHeight="1">
      <c r="A14" s="1771" t="str">
        <f>CONCATENATE("Distribution of Operational Holdings over size-classes in the district of ",District!A1)</f>
        <v>Distribution of Operational Holdings over size-classes in the district of South 24-Parganas</v>
      </c>
      <c r="B14" s="1771"/>
      <c r="C14" s="1771"/>
      <c r="D14" s="1771"/>
      <c r="E14" s="1771"/>
      <c r="F14" s="1771"/>
      <c r="G14" s="1771"/>
      <c r="H14" s="1771"/>
      <c r="I14" s="1771"/>
      <c r="J14" s="1771"/>
      <c r="K14" s="1771"/>
      <c r="L14" s="1771"/>
      <c r="M14" s="1771"/>
      <c r="N14" s="1771"/>
    </row>
    <row r="15" spans="1:14" ht="12.75" customHeight="1">
      <c r="M15" s="1988" t="s">
        <v>1362</v>
      </c>
      <c r="N15" s="1988"/>
    </row>
    <row r="16" spans="1:14">
      <c r="A16" s="1733" t="s">
        <v>671</v>
      </c>
      <c r="B16" s="1989" t="s">
        <v>1361</v>
      </c>
      <c r="C16" s="1990"/>
      <c r="D16" s="1990"/>
      <c r="E16" s="1990"/>
      <c r="F16" s="1990"/>
      <c r="G16" s="1990"/>
      <c r="H16" s="1990"/>
      <c r="I16" s="1990"/>
      <c r="J16" s="1990"/>
      <c r="K16" s="1990"/>
      <c r="L16" s="1990"/>
      <c r="M16" s="1991"/>
      <c r="N16" s="1776" t="s">
        <v>376</v>
      </c>
    </row>
    <row r="17" spans="1:14" ht="13.5" customHeight="1">
      <c r="A17" s="1734"/>
      <c r="B17" s="1732" t="s">
        <v>1356</v>
      </c>
      <c r="C17" s="1714"/>
      <c r="D17" s="1732" t="s">
        <v>1357</v>
      </c>
      <c r="E17" s="1714"/>
      <c r="F17" s="1732" t="s">
        <v>1358</v>
      </c>
      <c r="G17" s="1714"/>
      <c r="H17" s="1732" t="s">
        <v>1359</v>
      </c>
      <c r="I17" s="1714"/>
      <c r="J17" s="1732" t="s">
        <v>1360</v>
      </c>
      <c r="K17" s="1714"/>
      <c r="L17" s="1732" t="s">
        <v>958</v>
      </c>
      <c r="M17" s="1714"/>
      <c r="N17" s="1992"/>
    </row>
    <row r="18" spans="1:14" ht="27.75" customHeight="1">
      <c r="A18" s="1735"/>
      <c r="B18" s="910" t="s">
        <v>374</v>
      </c>
      <c r="C18" s="631" t="s">
        <v>375</v>
      </c>
      <c r="D18" s="910" t="s">
        <v>374</v>
      </c>
      <c r="E18" s="631" t="s">
        <v>375</v>
      </c>
      <c r="F18" s="910" t="s">
        <v>374</v>
      </c>
      <c r="G18" s="631" t="s">
        <v>375</v>
      </c>
      <c r="H18" s="910" t="s">
        <v>374</v>
      </c>
      <c r="I18" s="631" t="s">
        <v>375</v>
      </c>
      <c r="J18" s="910" t="s">
        <v>374</v>
      </c>
      <c r="K18" s="631" t="s">
        <v>375</v>
      </c>
      <c r="L18" s="910" t="s">
        <v>374</v>
      </c>
      <c r="M18" s="631" t="s">
        <v>375</v>
      </c>
      <c r="N18" s="1777"/>
    </row>
    <row r="19" spans="1:14" ht="15" customHeight="1">
      <c r="A19" s="196" t="s">
        <v>928</v>
      </c>
      <c r="B19" s="197" t="s">
        <v>929</v>
      </c>
      <c r="C19" s="198" t="s">
        <v>930</v>
      </c>
      <c r="D19" s="197" t="s">
        <v>931</v>
      </c>
      <c r="E19" s="198" t="s">
        <v>932</v>
      </c>
      <c r="F19" s="197" t="s">
        <v>933</v>
      </c>
      <c r="G19" s="198" t="s">
        <v>934</v>
      </c>
      <c r="H19" s="197" t="s">
        <v>959</v>
      </c>
      <c r="I19" s="198" t="s">
        <v>960</v>
      </c>
      <c r="J19" s="197" t="s">
        <v>961</v>
      </c>
      <c r="K19" s="198" t="s">
        <v>962</v>
      </c>
      <c r="L19" s="197" t="s">
        <v>1037</v>
      </c>
      <c r="M19" s="198" t="s">
        <v>1038</v>
      </c>
      <c r="N19" s="198" t="s">
        <v>1039</v>
      </c>
    </row>
    <row r="20" spans="1:14" ht="21.75" customHeight="1">
      <c r="A20" s="243" t="s">
        <v>606</v>
      </c>
      <c r="B20" s="45">
        <v>538339</v>
      </c>
      <c r="C20" s="48">
        <v>230047</v>
      </c>
      <c r="D20" s="40">
        <v>75421</v>
      </c>
      <c r="E20" s="48">
        <v>110816</v>
      </c>
      <c r="F20" s="40">
        <v>9614</v>
      </c>
      <c r="G20" s="48">
        <v>23613</v>
      </c>
      <c r="H20" s="74">
        <v>738</v>
      </c>
      <c r="I20" s="74">
        <v>3642</v>
      </c>
      <c r="J20" s="48">
        <v>3</v>
      </c>
      <c r="K20" s="75">
        <v>92</v>
      </c>
      <c r="L20" s="48">
        <v>624115</v>
      </c>
      <c r="M20" s="48">
        <v>368210</v>
      </c>
      <c r="N20" s="76">
        <v>0.59</v>
      </c>
    </row>
    <row r="21" spans="1:14" ht="24" customHeight="1">
      <c r="A21" s="243" t="s">
        <v>221</v>
      </c>
      <c r="B21" s="45">
        <v>538112</v>
      </c>
      <c r="C21" s="48">
        <v>238821</v>
      </c>
      <c r="D21" s="40">
        <v>67263</v>
      </c>
      <c r="E21" s="48">
        <v>102763</v>
      </c>
      <c r="F21" s="40">
        <v>9110</v>
      </c>
      <c r="G21" s="48">
        <v>24668</v>
      </c>
      <c r="H21" s="74">
        <v>211</v>
      </c>
      <c r="I21" s="74">
        <v>1030</v>
      </c>
      <c r="J21" s="48">
        <v>5</v>
      </c>
      <c r="K21" s="75">
        <v>99</v>
      </c>
      <c r="L21" s="48">
        <v>614701</v>
      </c>
      <c r="M21" s="48">
        <v>367381</v>
      </c>
      <c r="N21" s="76">
        <v>0.6</v>
      </c>
    </row>
    <row r="22" spans="1:14">
      <c r="B22" s="1163" t="s">
        <v>1787</v>
      </c>
      <c r="C22" s="1014" t="s">
        <v>1788</v>
      </c>
      <c r="D22" s="1169"/>
      <c r="E22" s="1017"/>
      <c r="F22" s="1017"/>
      <c r="G22" s="1017"/>
      <c r="H22" s="1017"/>
      <c r="I22" s="1017"/>
      <c r="J22" s="1981" t="s">
        <v>1434</v>
      </c>
      <c r="K22" s="1981"/>
      <c r="L22" s="1981"/>
      <c r="M22" s="1981"/>
      <c r="N22" s="1981"/>
    </row>
    <row r="23" spans="1:14">
      <c r="B23" s="1163" t="s">
        <v>1789</v>
      </c>
      <c r="C23" s="1014" t="s">
        <v>1790</v>
      </c>
      <c r="D23" s="1169"/>
      <c r="E23" s="1017"/>
      <c r="F23" s="1017"/>
      <c r="G23" s="1017"/>
      <c r="H23" s="1017"/>
      <c r="I23" s="1017"/>
      <c r="J23" s="1017"/>
      <c r="K23" s="1017"/>
      <c r="L23" s="1017"/>
      <c r="M23" s="1017"/>
      <c r="N23" s="1017"/>
    </row>
    <row r="24" spans="1:14">
      <c r="B24" s="1163" t="s">
        <v>1791</v>
      </c>
      <c r="C24" s="1014" t="s">
        <v>1792</v>
      </c>
      <c r="D24" s="1169"/>
      <c r="E24" s="1017"/>
      <c r="F24" s="1017"/>
      <c r="G24" s="1017"/>
      <c r="H24" s="1017"/>
      <c r="I24" s="1017"/>
      <c r="J24" s="1017"/>
      <c r="K24" s="1017"/>
      <c r="L24" s="1017"/>
      <c r="M24" s="1017"/>
      <c r="N24" s="1017"/>
    </row>
    <row r="25" spans="1:14">
      <c r="B25" s="1163" t="s">
        <v>1793</v>
      </c>
      <c r="C25" s="1014" t="s">
        <v>1796</v>
      </c>
      <c r="D25" s="1169"/>
      <c r="E25" s="1017"/>
      <c r="F25" s="1017"/>
      <c r="G25" s="1017"/>
      <c r="H25" s="1017"/>
      <c r="I25" s="1017"/>
      <c r="J25" s="1017"/>
      <c r="K25" s="1017"/>
      <c r="L25" s="1017"/>
      <c r="M25" s="1017"/>
      <c r="N25" s="1017"/>
    </row>
    <row r="26" spans="1:14">
      <c r="B26" s="1163" t="s">
        <v>1797</v>
      </c>
      <c r="C26" s="1014" t="s">
        <v>1799</v>
      </c>
      <c r="D26" s="1169"/>
      <c r="E26" s="1017"/>
      <c r="F26" s="1017"/>
      <c r="G26" s="1017"/>
      <c r="H26" s="1017"/>
      <c r="I26" s="1017"/>
      <c r="J26" s="1017"/>
      <c r="K26" s="1017"/>
      <c r="L26" s="1017"/>
      <c r="M26" s="1017"/>
      <c r="N26" s="1017"/>
    </row>
    <row r="27" spans="1:14">
      <c r="B27" s="1163" t="s">
        <v>1800</v>
      </c>
      <c r="C27" s="1170" t="s">
        <v>1801</v>
      </c>
      <c r="D27" s="1017"/>
      <c r="E27" s="1009"/>
      <c r="F27" s="1009"/>
      <c r="G27" s="1009"/>
      <c r="H27" s="1009"/>
      <c r="I27" s="1009"/>
      <c r="J27" s="1009"/>
      <c r="K27" s="1009"/>
      <c r="L27" s="1009"/>
      <c r="M27" s="1009"/>
      <c r="N27" s="1009"/>
    </row>
  </sheetData>
  <mergeCells count="22">
    <mergeCell ref="B1:M1"/>
    <mergeCell ref="B7:C7"/>
    <mergeCell ref="B8:C8"/>
    <mergeCell ref="B4:C4"/>
    <mergeCell ref="B5:C5"/>
    <mergeCell ref="B6:C6"/>
    <mergeCell ref="B2:M2"/>
    <mergeCell ref="B9:C9"/>
    <mergeCell ref="B10:C10"/>
    <mergeCell ref="F17:G17"/>
    <mergeCell ref="J22:N22"/>
    <mergeCell ref="M15:N15"/>
    <mergeCell ref="A14:N14"/>
    <mergeCell ref="A13:N13"/>
    <mergeCell ref="A16:A18"/>
    <mergeCell ref="L17:M17"/>
    <mergeCell ref="B16:M16"/>
    <mergeCell ref="H17:I17"/>
    <mergeCell ref="B17:C17"/>
    <mergeCell ref="D17:E17"/>
    <mergeCell ref="N16:N18"/>
    <mergeCell ref="J17:K17"/>
  </mergeCells>
  <phoneticPr fontId="0" type="noConversion"/>
  <printOptions horizontalCentered="1"/>
  <pageMargins left="0.1" right="0.1" top="0.7" bottom="0.1" header="0.16" footer="0.1"/>
  <pageSetup paperSize="9" orientation="landscape" blackAndWhite="1" r:id="rId1"/>
  <headerFooter alignWithMargins="0"/>
</worksheet>
</file>

<file path=xl/worksheets/sheet43.xml><?xml version="1.0" encoding="utf-8"?>
<worksheet xmlns="http://schemas.openxmlformats.org/spreadsheetml/2006/main" xmlns:r="http://schemas.openxmlformats.org/officeDocument/2006/relationships">
  <dimension ref="A1:O59"/>
  <sheetViews>
    <sheetView workbookViewId="0">
      <selection activeCell="I10" sqref="I10"/>
    </sheetView>
  </sheetViews>
  <sheetFormatPr defaultRowHeight="12.75"/>
  <cols>
    <col min="1" max="1" width="2.7109375" customWidth="1"/>
    <col min="2" max="2" width="19.140625" customWidth="1"/>
    <col min="3" max="3" width="12.28515625" customWidth="1"/>
    <col min="4" max="7" width="10.7109375" customWidth="1"/>
  </cols>
  <sheetData>
    <row r="1" spans="1:15" ht="13.5" customHeight="1">
      <c r="A1" s="1739" t="s">
        <v>1802</v>
      </c>
      <c r="B1" s="1739"/>
      <c r="C1" s="1739"/>
      <c r="D1" s="1739"/>
      <c r="E1" s="1739"/>
      <c r="F1" s="1739"/>
      <c r="G1" s="1739"/>
      <c r="H1" s="288"/>
      <c r="I1" s="288"/>
      <c r="J1" s="288"/>
      <c r="K1" s="288"/>
      <c r="L1" s="288"/>
      <c r="M1" s="288"/>
    </row>
    <row r="2" spans="1:15" ht="33.75" customHeight="1">
      <c r="A2" s="2005" t="str">
        <f>CONCATENATE("Area of Vested Agricultural Land distributed and Number of Beneficiaries in the district of ",District!$A$1)</f>
        <v>Area of Vested Agricultural Land distributed and Number of Beneficiaries in the district of South 24-Parganas</v>
      </c>
      <c r="B2" s="2005"/>
      <c r="C2" s="2005"/>
      <c r="D2" s="2005"/>
      <c r="E2" s="2005"/>
      <c r="F2" s="2005"/>
      <c r="G2" s="2005"/>
      <c r="H2" s="565"/>
      <c r="I2" s="565"/>
      <c r="J2" s="565"/>
      <c r="K2" s="565"/>
      <c r="L2" s="565"/>
      <c r="M2" s="565"/>
    </row>
    <row r="3" spans="1:15" ht="14.25" customHeight="1">
      <c r="A3" s="1723" t="s">
        <v>1449</v>
      </c>
      <c r="B3" s="1724"/>
      <c r="C3" s="2006" t="s">
        <v>389</v>
      </c>
      <c r="D3" s="1713" t="s">
        <v>1450</v>
      </c>
      <c r="E3" s="1713"/>
      <c r="F3" s="1713"/>
      <c r="G3" s="1714"/>
      <c r="H3" s="117"/>
      <c r="I3" s="117"/>
      <c r="J3" s="117"/>
      <c r="K3" s="117"/>
      <c r="L3" s="117"/>
      <c r="M3" s="117"/>
    </row>
    <row r="4" spans="1:15" ht="26.25" customHeight="1">
      <c r="A4" s="1762"/>
      <c r="B4" s="1947"/>
      <c r="C4" s="2007"/>
      <c r="D4" s="631" t="s">
        <v>460</v>
      </c>
      <c r="E4" s="631" t="s">
        <v>461</v>
      </c>
      <c r="F4" s="631" t="s">
        <v>1111</v>
      </c>
      <c r="G4" s="631" t="s">
        <v>958</v>
      </c>
      <c r="H4" s="7"/>
      <c r="I4" s="117"/>
      <c r="J4" s="7"/>
      <c r="K4" s="117"/>
      <c r="L4" s="7"/>
      <c r="M4" s="117"/>
    </row>
    <row r="5" spans="1:15" ht="14.25" customHeight="1">
      <c r="A5" s="1716" t="s">
        <v>928</v>
      </c>
      <c r="B5" s="1797"/>
      <c r="C5" s="120" t="s">
        <v>929</v>
      </c>
      <c r="D5" s="199" t="s">
        <v>930</v>
      </c>
      <c r="E5" s="199" t="s">
        <v>931</v>
      </c>
      <c r="F5" s="199" t="s">
        <v>932</v>
      </c>
      <c r="G5" s="199" t="s">
        <v>933</v>
      </c>
      <c r="H5" s="7"/>
      <c r="I5" s="592"/>
      <c r="J5" s="7"/>
      <c r="K5" s="592"/>
      <c r="L5" s="7"/>
      <c r="M5" s="592"/>
    </row>
    <row r="6" spans="1:15" ht="18.75" customHeight="1">
      <c r="A6" s="1967" t="s">
        <v>1936</v>
      </c>
      <c r="B6" s="1997"/>
      <c r="C6" s="991">
        <v>31059</v>
      </c>
      <c r="D6" s="1680">
        <v>67205</v>
      </c>
      <c r="E6" s="1680">
        <v>13451</v>
      </c>
      <c r="F6" s="1680">
        <v>91897</v>
      </c>
      <c r="G6" s="77">
        <f>SUM(D6:F6)</f>
        <v>172553</v>
      </c>
      <c r="H6" s="7"/>
      <c r="I6" s="79"/>
      <c r="J6" s="7"/>
      <c r="K6" s="79"/>
      <c r="L6" s="7"/>
      <c r="M6" s="39"/>
    </row>
    <row r="7" spans="1:15" ht="18.75" customHeight="1">
      <c r="A7" s="1998" t="s">
        <v>681</v>
      </c>
      <c r="B7" s="1999"/>
      <c r="C7" s="991">
        <v>31292</v>
      </c>
      <c r="D7" s="1680">
        <v>68630</v>
      </c>
      <c r="E7" s="1680">
        <v>13451</v>
      </c>
      <c r="F7" s="1680">
        <v>97192</v>
      </c>
      <c r="G7" s="77">
        <f>SUM(D7:F7)</f>
        <v>179273</v>
      </c>
      <c r="H7" s="7"/>
      <c r="I7" s="39"/>
      <c r="J7" s="7"/>
      <c r="K7" s="39"/>
      <c r="L7" s="7"/>
      <c r="M7" s="39"/>
    </row>
    <row r="8" spans="1:15" ht="18.75" customHeight="1">
      <c r="A8" s="1998" t="s">
        <v>682</v>
      </c>
      <c r="B8" s="1999"/>
      <c r="C8" s="991">
        <v>31574</v>
      </c>
      <c r="D8" s="1680">
        <v>73128</v>
      </c>
      <c r="E8" s="1680">
        <v>13482</v>
      </c>
      <c r="F8" s="1680">
        <v>106571</v>
      </c>
      <c r="G8" s="77">
        <f>SUM(D8:F8)</f>
        <v>193181</v>
      </c>
      <c r="H8" s="7"/>
      <c r="I8" s="39"/>
      <c r="J8" s="7"/>
      <c r="K8" s="39"/>
      <c r="L8" s="7"/>
      <c r="M8" s="39"/>
    </row>
    <row r="9" spans="1:15" ht="18.75" customHeight="1">
      <c r="A9" s="1998" t="s">
        <v>680</v>
      </c>
      <c r="B9" s="1999"/>
      <c r="C9" s="991">
        <v>31680</v>
      </c>
      <c r="D9" s="1680">
        <v>73322</v>
      </c>
      <c r="E9" s="1680">
        <v>13516</v>
      </c>
      <c r="F9" s="1680">
        <v>106667</v>
      </c>
      <c r="G9" s="77">
        <f>SUM(D9:F9)</f>
        <v>193505</v>
      </c>
      <c r="H9" s="7"/>
      <c r="I9" s="8"/>
      <c r="J9" s="7"/>
      <c r="K9" s="8"/>
      <c r="L9" s="7"/>
      <c r="M9" s="39"/>
    </row>
    <row r="10" spans="1:15" ht="18.75" customHeight="1">
      <c r="A10" s="1995" t="s">
        <v>1795</v>
      </c>
      <c r="B10" s="1996"/>
      <c r="C10" s="992">
        <v>31758</v>
      </c>
      <c r="D10" s="1681">
        <v>74249</v>
      </c>
      <c r="E10" s="1681">
        <v>14007</v>
      </c>
      <c r="F10" s="1681">
        <v>105924</v>
      </c>
      <c r="G10" s="78">
        <f>SUM(D10:F10)</f>
        <v>194180</v>
      </c>
      <c r="H10" s="7"/>
      <c r="I10" s="8"/>
      <c r="J10" s="7"/>
      <c r="K10" s="8"/>
      <c r="L10" s="7"/>
      <c r="M10" s="39"/>
    </row>
    <row r="11" spans="1:15">
      <c r="C11" s="53"/>
      <c r="D11" s="49"/>
      <c r="G11" s="1159" t="s">
        <v>619</v>
      </c>
      <c r="L11" s="610"/>
      <c r="M11" s="610"/>
      <c r="N11" s="610"/>
      <c r="O11" s="610"/>
    </row>
    <row r="12" spans="1:15">
      <c r="C12" s="53"/>
      <c r="D12" s="49"/>
      <c r="G12" s="108"/>
      <c r="L12" s="610"/>
      <c r="M12" s="610"/>
      <c r="N12" s="610"/>
      <c r="O12" s="610"/>
    </row>
    <row r="13" spans="1:15">
      <c r="A13" s="1899" t="s">
        <v>1803</v>
      </c>
      <c r="B13" s="1899"/>
      <c r="C13" s="1899"/>
      <c r="D13" s="1899"/>
      <c r="E13" s="1899"/>
      <c r="F13" s="1899"/>
      <c r="G13" s="1899"/>
    </row>
    <row r="14" spans="1:15" ht="16.5" customHeight="1">
      <c r="A14" s="1975" t="str">
        <f>CONCATENATE("Area under Principal Crops in the district of ",District!A1)</f>
        <v>Area under Principal Crops in the district of South 24-Parganas</v>
      </c>
      <c r="B14" s="1975"/>
      <c r="C14" s="1975"/>
      <c r="D14" s="1975"/>
      <c r="E14" s="1975"/>
      <c r="F14" s="1975"/>
      <c r="G14" s="1975"/>
      <c r="H14" s="23"/>
      <c r="I14" s="23"/>
      <c r="J14" s="23"/>
      <c r="K14" s="23"/>
    </row>
    <row r="15" spans="1:15">
      <c r="G15" s="94" t="s">
        <v>556</v>
      </c>
    </row>
    <row r="16" spans="1:15" ht="12.75" customHeight="1">
      <c r="A16" s="1732" t="s">
        <v>1383</v>
      </c>
      <c r="B16" s="1714"/>
      <c r="C16" s="666" t="s">
        <v>1317</v>
      </c>
      <c r="D16" s="666" t="s">
        <v>221</v>
      </c>
      <c r="E16" s="666" t="s">
        <v>1301</v>
      </c>
      <c r="F16" s="666" t="s">
        <v>621</v>
      </c>
      <c r="G16" s="666" t="s">
        <v>206</v>
      </c>
    </row>
    <row r="17" spans="1:9" ht="12.75" customHeight="1">
      <c r="A17" s="1716" t="s">
        <v>928</v>
      </c>
      <c r="B17" s="2002"/>
      <c r="C17" s="118" t="s">
        <v>929</v>
      </c>
      <c r="D17" s="199" t="s">
        <v>930</v>
      </c>
      <c r="E17" s="119" t="s">
        <v>931</v>
      </c>
      <c r="F17" s="199" t="s">
        <v>932</v>
      </c>
      <c r="G17" s="120" t="s">
        <v>933</v>
      </c>
      <c r="H17" s="561"/>
    </row>
    <row r="18" spans="1:9" ht="13.5" customHeight="1">
      <c r="A18" s="402" t="s">
        <v>1374</v>
      </c>
      <c r="B18" s="403"/>
      <c r="C18" s="404"/>
      <c r="D18" s="405"/>
      <c r="E18" s="406"/>
      <c r="F18" s="405"/>
      <c r="G18" s="407"/>
    </row>
    <row r="19" spans="1:9" ht="13.5" customHeight="1">
      <c r="A19" s="408" t="s">
        <v>1375</v>
      </c>
      <c r="B19" s="741" t="s">
        <v>1384</v>
      </c>
      <c r="C19" s="825">
        <f>SUM(C20:C22)</f>
        <v>384</v>
      </c>
      <c r="D19" s="825">
        <f>SUM(D20:D22)</f>
        <v>372</v>
      </c>
      <c r="E19" s="825">
        <f>SUM(E20:E22)</f>
        <v>388.9</v>
      </c>
      <c r="F19" s="825">
        <f>SUM(F20:F22)</f>
        <v>378.4</v>
      </c>
      <c r="G19" s="825">
        <f>SUM(G20:G22)</f>
        <v>393.8</v>
      </c>
    </row>
    <row r="20" spans="1:9" ht="13.5" customHeight="1">
      <c r="A20" s="269"/>
      <c r="B20" s="668" t="s">
        <v>1385</v>
      </c>
      <c r="C20" s="422">
        <v>3.4</v>
      </c>
      <c r="D20" s="422">
        <v>5.8</v>
      </c>
      <c r="E20" s="422">
        <v>7.4</v>
      </c>
      <c r="F20" s="422">
        <v>3.9</v>
      </c>
      <c r="G20" s="422">
        <v>4</v>
      </c>
    </row>
    <row r="21" spans="1:9" ht="13.5" customHeight="1">
      <c r="A21" s="269"/>
      <c r="B21" s="668" t="s">
        <v>1386</v>
      </c>
      <c r="C21" s="422">
        <v>314.2</v>
      </c>
      <c r="D21" s="422">
        <v>297.89999999999998</v>
      </c>
      <c r="E21" s="422">
        <v>313.89999999999998</v>
      </c>
      <c r="F21" s="422">
        <v>314.2</v>
      </c>
      <c r="G21" s="422">
        <v>316.8</v>
      </c>
    </row>
    <row r="22" spans="1:9" ht="13.5" customHeight="1">
      <c r="A22" s="269"/>
      <c r="B22" s="668" t="s">
        <v>1387</v>
      </c>
      <c r="C22" s="422">
        <v>66.400000000000006</v>
      </c>
      <c r="D22" s="422">
        <v>68.3</v>
      </c>
      <c r="E22" s="422">
        <v>67.599999999999994</v>
      </c>
      <c r="F22" s="422">
        <v>60.3</v>
      </c>
      <c r="G22" s="422">
        <v>73</v>
      </c>
    </row>
    <row r="23" spans="1:9" ht="13.5" customHeight="1">
      <c r="A23" s="408" t="s">
        <v>1376</v>
      </c>
      <c r="B23" s="668" t="s">
        <v>1388</v>
      </c>
      <c r="C23" s="423">
        <v>2.1</v>
      </c>
      <c r="D23" s="423">
        <v>2.5</v>
      </c>
      <c r="E23" s="423">
        <v>2.5</v>
      </c>
      <c r="F23" s="423">
        <v>3.4</v>
      </c>
      <c r="G23" s="423">
        <v>3.5</v>
      </c>
    </row>
    <row r="24" spans="1:9" ht="13.5" customHeight="1">
      <c r="A24" s="408" t="s">
        <v>1377</v>
      </c>
      <c r="B24" s="668" t="s">
        <v>1389</v>
      </c>
      <c r="C24" s="1322" t="s">
        <v>1229</v>
      </c>
      <c r="D24" s="974" t="s">
        <v>1229</v>
      </c>
      <c r="E24" s="974" t="s">
        <v>1229</v>
      </c>
      <c r="F24" s="974" t="s">
        <v>1229</v>
      </c>
      <c r="G24" s="974" t="s">
        <v>1229</v>
      </c>
    </row>
    <row r="25" spans="1:9" ht="13.5" customHeight="1">
      <c r="A25" s="408" t="s">
        <v>1378</v>
      </c>
      <c r="B25" s="668" t="s">
        <v>1390</v>
      </c>
      <c r="C25" s="423">
        <v>0.3</v>
      </c>
      <c r="D25" s="423">
        <v>0.4</v>
      </c>
      <c r="E25" s="423">
        <v>0.2</v>
      </c>
      <c r="F25" s="423">
        <v>0.2</v>
      </c>
      <c r="G25" s="423">
        <v>0.2</v>
      </c>
    </row>
    <row r="26" spans="1:9" ht="13.5" customHeight="1">
      <c r="A26" s="408" t="s">
        <v>1379</v>
      </c>
      <c r="B26" s="668" t="s">
        <v>1391</v>
      </c>
      <c r="C26" s="677" t="s">
        <v>1229</v>
      </c>
      <c r="D26" s="677" t="s">
        <v>1229</v>
      </c>
      <c r="E26" s="677" t="s">
        <v>1229</v>
      </c>
      <c r="F26" s="677" t="s">
        <v>1229</v>
      </c>
      <c r="G26" s="677" t="s">
        <v>1229</v>
      </c>
    </row>
    <row r="27" spans="1:9" ht="13.5" customHeight="1">
      <c r="A27" s="414"/>
      <c r="B27" s="742" t="s">
        <v>1392</v>
      </c>
      <c r="C27" s="415">
        <f>SUM(C23:C26)+C19</f>
        <v>386.4</v>
      </c>
      <c r="D27" s="415">
        <f>SUM(D23:D26)+D19</f>
        <v>374.9</v>
      </c>
      <c r="E27" s="415">
        <f>SUM(E23:E26)+E19</f>
        <v>391.59999999999997</v>
      </c>
      <c r="F27" s="415">
        <f>SUM(F23:F26)+F19</f>
        <v>382</v>
      </c>
      <c r="G27" s="415">
        <f>SUM(G23:G26)+G19</f>
        <v>397.5</v>
      </c>
      <c r="H27" s="9"/>
    </row>
    <row r="28" spans="1:9" ht="13.5" customHeight="1">
      <c r="A28" s="408" t="s">
        <v>1380</v>
      </c>
      <c r="B28" s="668" t="s">
        <v>975</v>
      </c>
      <c r="C28" s="422">
        <v>0.2</v>
      </c>
      <c r="D28" s="422">
        <v>0.5</v>
      </c>
      <c r="E28" s="422">
        <v>0.6</v>
      </c>
      <c r="F28" s="422">
        <v>0.6</v>
      </c>
      <c r="G28" s="422">
        <v>0.6</v>
      </c>
      <c r="I28" s="136"/>
    </row>
    <row r="29" spans="1:9" ht="13.5" customHeight="1">
      <c r="A29" s="408" t="s">
        <v>1381</v>
      </c>
      <c r="B29" s="668" t="s">
        <v>1393</v>
      </c>
      <c r="C29" s="422">
        <v>0.1</v>
      </c>
      <c r="D29" s="422">
        <v>0.5</v>
      </c>
      <c r="E29" s="422">
        <v>0.4</v>
      </c>
      <c r="F29" s="422">
        <v>0.5</v>
      </c>
      <c r="G29" s="422">
        <v>0.4</v>
      </c>
    </row>
    <row r="30" spans="1:9" ht="13.5" customHeight="1">
      <c r="A30" s="408" t="s">
        <v>1382</v>
      </c>
      <c r="B30" s="668" t="s">
        <v>1394</v>
      </c>
      <c r="C30" s="422">
        <v>13.9</v>
      </c>
      <c r="D30" s="422">
        <v>14.8</v>
      </c>
      <c r="E30" s="422">
        <v>18.2</v>
      </c>
      <c r="F30" s="422">
        <v>22</v>
      </c>
      <c r="G30" s="422">
        <v>23.1</v>
      </c>
    </row>
    <row r="31" spans="1:9" ht="13.5" customHeight="1">
      <c r="A31" s="404"/>
      <c r="B31" s="741" t="s">
        <v>1395</v>
      </c>
      <c r="C31" s="825">
        <f>SUM(C28:C30)</f>
        <v>14.200000000000001</v>
      </c>
      <c r="D31" s="825">
        <f>SUM(D28:D30)</f>
        <v>15.8</v>
      </c>
      <c r="E31" s="825">
        <f>SUM(E28:E30)</f>
        <v>19.2</v>
      </c>
      <c r="F31" s="825">
        <f>SUM(F28:F30)</f>
        <v>23.1</v>
      </c>
      <c r="G31" s="825">
        <f>SUM(G28:G30)</f>
        <v>24.1</v>
      </c>
      <c r="H31" s="9"/>
    </row>
    <row r="32" spans="1:9" ht="13.5" customHeight="1">
      <c r="A32" s="404"/>
      <c r="B32" s="742" t="s">
        <v>1396</v>
      </c>
      <c r="C32" s="415">
        <f>C27+C31</f>
        <v>400.59999999999997</v>
      </c>
      <c r="D32" s="415">
        <f>D27+D31</f>
        <v>390.7</v>
      </c>
      <c r="E32" s="415">
        <f>E27+E31</f>
        <v>410.79999999999995</v>
      </c>
      <c r="F32" s="415">
        <f>F27+F31</f>
        <v>405.1</v>
      </c>
      <c r="G32" s="415">
        <f>G27+G31</f>
        <v>421.6</v>
      </c>
      <c r="H32" s="9"/>
    </row>
    <row r="33" spans="1:7" ht="13.5" customHeight="1">
      <c r="A33" s="402" t="s">
        <v>1366</v>
      </c>
      <c r="B33" s="671"/>
      <c r="C33" s="344"/>
      <c r="D33" s="344"/>
      <c r="E33" s="344"/>
      <c r="F33" s="344"/>
      <c r="G33" s="344"/>
    </row>
    <row r="34" spans="1:7" ht="13.5" customHeight="1">
      <c r="A34" s="416" t="s">
        <v>1375</v>
      </c>
      <c r="B34" s="668" t="s">
        <v>380</v>
      </c>
      <c r="C34" s="422">
        <v>4.5</v>
      </c>
      <c r="D34" s="422">
        <v>2.8</v>
      </c>
      <c r="E34" s="422">
        <v>5</v>
      </c>
      <c r="F34" s="422">
        <v>5.5</v>
      </c>
      <c r="G34" s="422">
        <v>4.5999999999999996</v>
      </c>
    </row>
    <row r="35" spans="1:7" ht="13.5" customHeight="1">
      <c r="A35" s="416" t="s">
        <v>1376</v>
      </c>
      <c r="B35" s="668" t="s">
        <v>255</v>
      </c>
      <c r="C35" s="422">
        <v>0.1</v>
      </c>
      <c r="D35" s="422">
        <v>0.2</v>
      </c>
      <c r="E35" s="422">
        <v>0.2</v>
      </c>
      <c r="F35" s="422">
        <v>0.2</v>
      </c>
      <c r="G35" s="422">
        <v>0.1</v>
      </c>
    </row>
    <row r="36" spans="1:7" ht="13.5" customHeight="1">
      <c r="A36" s="416" t="s">
        <v>1377</v>
      </c>
      <c r="B36" s="668" t="s">
        <v>1397</v>
      </c>
      <c r="C36" s="422">
        <v>10.9</v>
      </c>
      <c r="D36" s="422">
        <v>7</v>
      </c>
      <c r="E36" s="422">
        <v>7.6</v>
      </c>
      <c r="F36" s="422">
        <v>7.4</v>
      </c>
      <c r="G36" s="422">
        <v>7.1</v>
      </c>
    </row>
    <row r="37" spans="1:7" ht="13.5" customHeight="1">
      <c r="A37" s="404"/>
      <c r="B37" s="742" t="s">
        <v>1424</v>
      </c>
      <c r="C37" s="415">
        <f>SUM(C34:C36)</f>
        <v>15.5</v>
      </c>
      <c r="D37" s="415">
        <f>SUM(D34:D36)</f>
        <v>10</v>
      </c>
      <c r="E37" s="415">
        <f>SUM(E34:E36)</f>
        <v>12.8</v>
      </c>
      <c r="F37" s="415">
        <f>SUM(F34:F36)</f>
        <v>13.100000000000001</v>
      </c>
      <c r="G37" s="415">
        <f>SUM(G34:G36)</f>
        <v>11.799999999999999</v>
      </c>
    </row>
    <row r="38" spans="1:7" ht="13.5" customHeight="1">
      <c r="A38" s="402" t="s">
        <v>1367</v>
      </c>
      <c r="B38" s="671"/>
      <c r="C38" s="344"/>
      <c r="D38" s="344"/>
      <c r="E38" s="344"/>
      <c r="F38" s="344"/>
      <c r="G38" s="344"/>
    </row>
    <row r="39" spans="1:7" ht="13.5" customHeight="1">
      <c r="A39" s="416" t="s">
        <v>1375</v>
      </c>
      <c r="B39" s="668" t="s">
        <v>1425</v>
      </c>
      <c r="C39" s="422">
        <v>2.5</v>
      </c>
      <c r="D39" s="422">
        <v>2</v>
      </c>
      <c r="E39" s="422">
        <v>3.3</v>
      </c>
      <c r="F39" s="422">
        <v>2.6</v>
      </c>
      <c r="G39" s="422">
        <v>1.5</v>
      </c>
    </row>
    <row r="40" spans="1:7" ht="13.5" customHeight="1">
      <c r="A40" s="416" t="s">
        <v>1376</v>
      </c>
      <c r="B40" s="668" t="s">
        <v>1426</v>
      </c>
      <c r="C40" s="422" t="s">
        <v>1229</v>
      </c>
      <c r="D40" s="422" t="s">
        <v>1079</v>
      </c>
      <c r="E40" s="422" t="s">
        <v>1229</v>
      </c>
      <c r="F40" s="422" t="s">
        <v>1229</v>
      </c>
      <c r="G40" s="422" t="s">
        <v>1229</v>
      </c>
    </row>
    <row r="41" spans="1:7" ht="13.5" customHeight="1">
      <c r="A41" s="416" t="s">
        <v>1377</v>
      </c>
      <c r="B41" s="668" t="s">
        <v>377</v>
      </c>
      <c r="C41" s="422">
        <v>0.5</v>
      </c>
      <c r="D41" s="422">
        <v>0.6</v>
      </c>
      <c r="E41" s="422">
        <v>0.1</v>
      </c>
      <c r="F41" s="422">
        <v>0.3</v>
      </c>
      <c r="G41" s="422">
        <v>0.3</v>
      </c>
    </row>
    <row r="42" spans="1:7" ht="13.5" customHeight="1">
      <c r="A42" s="404"/>
      <c r="B42" s="742" t="s">
        <v>378</v>
      </c>
      <c r="C42" s="415">
        <f>SUM(C39:C41)</f>
        <v>3</v>
      </c>
      <c r="D42" s="415">
        <f>SUM(D39:D41)</f>
        <v>2.6</v>
      </c>
      <c r="E42" s="415">
        <f>SUM(E39:E41)</f>
        <v>3.4</v>
      </c>
      <c r="F42" s="415">
        <v>2.9</v>
      </c>
      <c r="G42" s="415">
        <f>SUM(G39:G41)</f>
        <v>1.8</v>
      </c>
    </row>
    <row r="43" spans="1:7" ht="13.5" customHeight="1">
      <c r="A43" s="402" t="s">
        <v>1368</v>
      </c>
      <c r="B43" s="671"/>
      <c r="C43" s="344"/>
      <c r="D43" s="344"/>
      <c r="E43" s="344"/>
      <c r="F43" s="344"/>
      <c r="G43" s="344"/>
    </row>
    <row r="44" spans="1:7" ht="13.5" customHeight="1">
      <c r="A44" s="416" t="s">
        <v>1375</v>
      </c>
      <c r="B44" s="668" t="s">
        <v>1427</v>
      </c>
      <c r="C44" s="422">
        <v>0.1</v>
      </c>
      <c r="D44" s="422" t="s">
        <v>1079</v>
      </c>
      <c r="E44" s="422">
        <v>0.1</v>
      </c>
      <c r="F44" s="422">
        <v>0.1</v>
      </c>
      <c r="G44" s="422" t="s">
        <v>1079</v>
      </c>
    </row>
    <row r="45" spans="1:7" ht="13.5" customHeight="1">
      <c r="A45" s="416" t="s">
        <v>1376</v>
      </c>
      <c r="B45" s="668" t="s">
        <v>1428</v>
      </c>
      <c r="C45" s="422">
        <v>3</v>
      </c>
      <c r="D45" s="422">
        <v>7.3</v>
      </c>
      <c r="E45" s="422">
        <v>8</v>
      </c>
      <c r="F45" s="422">
        <v>3.3</v>
      </c>
      <c r="G45" s="422">
        <v>2.9</v>
      </c>
    </row>
    <row r="46" spans="1:7" ht="13.5" customHeight="1">
      <c r="A46" s="416" t="s">
        <v>1377</v>
      </c>
      <c r="B46" s="668" t="s">
        <v>1429</v>
      </c>
      <c r="C46" s="422" t="s">
        <v>1229</v>
      </c>
      <c r="D46" s="422" t="s">
        <v>1229</v>
      </c>
      <c r="E46" s="422" t="s">
        <v>1229</v>
      </c>
      <c r="F46" s="422" t="s">
        <v>1229</v>
      </c>
      <c r="G46" s="422" t="s">
        <v>1229</v>
      </c>
    </row>
    <row r="47" spans="1:7" ht="13.5" customHeight="1">
      <c r="A47" s="416" t="s">
        <v>1378</v>
      </c>
      <c r="B47" s="668" t="s">
        <v>1430</v>
      </c>
      <c r="C47" s="422" t="s">
        <v>1229</v>
      </c>
      <c r="D47" s="422" t="s">
        <v>1229</v>
      </c>
      <c r="E47" s="422" t="s">
        <v>1229</v>
      </c>
      <c r="F47" s="422" t="s">
        <v>1229</v>
      </c>
      <c r="G47" s="422" t="s">
        <v>1229</v>
      </c>
    </row>
    <row r="48" spans="1:7" ht="13.5" customHeight="1">
      <c r="A48" s="416" t="s">
        <v>1379</v>
      </c>
      <c r="B48" s="668" t="s">
        <v>1431</v>
      </c>
      <c r="C48" s="422">
        <v>4.9000000000000004</v>
      </c>
      <c r="D48" s="422">
        <v>4.9000000000000004</v>
      </c>
      <c r="E48" s="422">
        <v>5.0999999999999996</v>
      </c>
      <c r="F48" s="422">
        <v>5.0999999999999996</v>
      </c>
      <c r="G48" s="422">
        <v>5.3</v>
      </c>
    </row>
    <row r="49" spans="1:9" ht="13.5" customHeight="1">
      <c r="A49" s="416" t="s">
        <v>1380</v>
      </c>
      <c r="B49" s="668" t="s">
        <v>1432</v>
      </c>
      <c r="C49" s="422">
        <v>0.2</v>
      </c>
      <c r="D49" s="422">
        <v>0.2</v>
      </c>
      <c r="E49" s="422">
        <v>0.2</v>
      </c>
      <c r="F49" s="422">
        <v>0.2</v>
      </c>
      <c r="G49" s="422">
        <v>0.3</v>
      </c>
    </row>
    <row r="50" spans="1:9" ht="13.5" customHeight="1">
      <c r="A50" s="2003" t="s">
        <v>1433</v>
      </c>
      <c r="B50" s="2004"/>
      <c r="C50" s="828">
        <f>SUM(C44:C49)</f>
        <v>8.1999999999999993</v>
      </c>
      <c r="D50" s="828">
        <f>SUM(D44:D49)</f>
        <v>12.399999999999999</v>
      </c>
      <c r="E50" s="828">
        <f>SUM(E44:E49)</f>
        <v>13.399999999999999</v>
      </c>
      <c r="F50" s="828">
        <f>SUM(F44:F49)</f>
        <v>8.6999999999999993</v>
      </c>
      <c r="G50" s="828">
        <f>SUM(G44:G49)</f>
        <v>8.5</v>
      </c>
    </row>
    <row r="51" spans="1:9" ht="12.75" customHeight="1">
      <c r="A51" s="2000" t="s">
        <v>1843</v>
      </c>
      <c r="B51" s="2001"/>
      <c r="C51" s="1167"/>
      <c r="D51" s="1008" t="s">
        <v>1446</v>
      </c>
      <c r="E51" s="1009" t="s">
        <v>86</v>
      </c>
      <c r="F51" s="1009"/>
      <c r="G51" s="1009"/>
    </row>
    <row r="52" spans="1:9" ht="12.75" customHeight="1">
      <c r="A52" s="1168"/>
      <c r="B52" s="1009"/>
      <c r="C52" s="1009"/>
      <c r="D52" s="1009"/>
      <c r="E52" s="1009" t="s">
        <v>1448</v>
      </c>
      <c r="F52" s="1009"/>
      <c r="G52" s="1009"/>
    </row>
    <row r="53" spans="1:9">
      <c r="A53" s="138"/>
    </row>
    <row r="55" spans="1:9">
      <c r="A55" s="138"/>
    </row>
    <row r="59" spans="1:9">
      <c r="H59" s="1"/>
      <c r="I59" s="1"/>
    </row>
  </sheetData>
  <mergeCells count="17">
    <mergeCell ref="A1:G1"/>
    <mergeCell ref="A2:G2"/>
    <mergeCell ref="A3:B4"/>
    <mergeCell ref="A5:B5"/>
    <mergeCell ref="A9:B9"/>
    <mergeCell ref="D3:G3"/>
    <mergeCell ref="C3:C4"/>
    <mergeCell ref="A51:B51"/>
    <mergeCell ref="A16:B16"/>
    <mergeCell ref="A17:B17"/>
    <mergeCell ref="A14:G14"/>
    <mergeCell ref="A50:B50"/>
    <mergeCell ref="A13:G13"/>
    <mergeCell ref="A10:B10"/>
    <mergeCell ref="A6:B6"/>
    <mergeCell ref="A7:B7"/>
    <mergeCell ref="A8:B8"/>
  </mergeCells>
  <phoneticPr fontId="0" type="noConversion"/>
  <printOptions horizontalCentered="1"/>
  <pageMargins left="0.1" right="0.1" top="0.54" bottom="0.1" header="0.32" footer="0.1"/>
  <pageSetup paperSize="9" orientation="portrait" blackAndWhite="1" r:id="rId1"/>
  <headerFooter alignWithMargins="0"/>
  <ignoredErrors>
    <ignoredError sqref="G6:G9" formulaRange="1"/>
  </ignoredErrors>
</worksheet>
</file>

<file path=xl/worksheets/sheet44.xml><?xml version="1.0" encoding="utf-8"?>
<worksheet xmlns="http://schemas.openxmlformats.org/spreadsheetml/2006/main" xmlns:r="http://schemas.openxmlformats.org/officeDocument/2006/relationships">
  <dimension ref="A1:J46"/>
  <sheetViews>
    <sheetView topLeftCell="A22" workbookViewId="0">
      <selection activeCell="J11" sqref="J11"/>
    </sheetView>
  </sheetViews>
  <sheetFormatPr defaultRowHeight="12.75"/>
  <cols>
    <col min="1" max="1" width="3.42578125" customWidth="1"/>
    <col min="2" max="2" width="18.7109375" customWidth="1"/>
    <col min="3" max="7" width="10.7109375" customWidth="1"/>
  </cols>
  <sheetData>
    <row r="1" spans="1:10" ht="16.5" customHeight="1">
      <c r="A1" s="1765" t="s">
        <v>1804</v>
      </c>
      <c r="B1" s="1765"/>
      <c r="C1" s="1765"/>
      <c r="D1" s="1765"/>
      <c r="E1" s="1765"/>
      <c r="F1" s="1765"/>
      <c r="G1" s="1765"/>
    </row>
    <row r="2" spans="1:10" ht="18" customHeight="1">
      <c r="A2" s="1781" t="str">
        <f>CONCATENATE("Production of Principal Crops in the district of ",District!A1)</f>
        <v>Production of Principal Crops in the district of South 24-Parganas</v>
      </c>
      <c r="B2" s="1781"/>
      <c r="C2" s="1781"/>
      <c r="D2" s="1781"/>
      <c r="E2" s="1781"/>
      <c r="F2" s="1781"/>
      <c r="G2" s="1781"/>
      <c r="H2" s="23"/>
      <c r="I2" s="23"/>
      <c r="J2" s="23"/>
    </row>
    <row r="3" spans="1:10" ht="15" customHeight="1">
      <c r="F3" s="2011" t="s">
        <v>557</v>
      </c>
      <c r="G3" s="2011"/>
    </row>
    <row r="4" spans="1:10" ht="16.5" customHeight="1">
      <c r="A4" s="1732" t="s">
        <v>1383</v>
      </c>
      <c r="B4" s="1714"/>
      <c r="C4" s="666" t="s">
        <v>1317</v>
      </c>
      <c r="D4" s="666" t="s">
        <v>221</v>
      </c>
      <c r="E4" s="666" t="s">
        <v>1301</v>
      </c>
      <c r="F4" s="666" t="s">
        <v>621</v>
      </c>
      <c r="G4" s="666" t="s">
        <v>206</v>
      </c>
    </row>
    <row r="5" spans="1:10" ht="16.5" customHeight="1">
      <c r="A5" s="1716" t="s">
        <v>928</v>
      </c>
      <c r="B5" s="2008"/>
      <c r="C5" s="119" t="s">
        <v>929</v>
      </c>
      <c r="D5" s="199" t="s">
        <v>930</v>
      </c>
      <c r="E5" s="119" t="s">
        <v>931</v>
      </c>
      <c r="F5" s="199" t="s">
        <v>932</v>
      </c>
      <c r="G5" s="120" t="s">
        <v>933</v>
      </c>
    </row>
    <row r="6" spans="1:10" ht="15" customHeight="1">
      <c r="A6" s="417" t="s">
        <v>1374</v>
      </c>
      <c r="B6" s="667"/>
      <c r="C6" s="419"/>
      <c r="D6" s="418"/>
      <c r="E6" s="419"/>
      <c r="F6" s="418"/>
      <c r="G6" s="420"/>
    </row>
    <row r="7" spans="1:10" ht="18" customHeight="1">
      <c r="A7" s="421" t="s">
        <v>1375</v>
      </c>
      <c r="B7" s="504" t="s">
        <v>1384</v>
      </c>
      <c r="C7" s="427">
        <f>SUM(C8:C10)</f>
        <v>805.40000000000009</v>
      </c>
      <c r="D7" s="427">
        <f>SUM(D8:D10)</f>
        <v>856.4</v>
      </c>
      <c r="E7" s="427">
        <f>SUM(E8:E10)</f>
        <v>903.09999999999991</v>
      </c>
      <c r="F7" s="427">
        <f>SUM(F8:F10)</f>
        <v>904.3</v>
      </c>
      <c r="G7" s="427">
        <f>SUM(G8:G10)</f>
        <v>990.4</v>
      </c>
    </row>
    <row r="8" spans="1:10" ht="18" customHeight="1">
      <c r="A8" s="421"/>
      <c r="B8" s="668" t="s">
        <v>1385</v>
      </c>
      <c r="C8" s="422">
        <v>7.7</v>
      </c>
      <c r="D8" s="422">
        <v>11.3</v>
      </c>
      <c r="E8" s="422">
        <v>17.3</v>
      </c>
      <c r="F8" s="422">
        <v>8.9</v>
      </c>
      <c r="G8" s="422">
        <v>10.9</v>
      </c>
    </row>
    <row r="9" spans="1:10" ht="18" customHeight="1">
      <c r="A9" s="421"/>
      <c r="B9" s="668" t="s">
        <v>1386</v>
      </c>
      <c r="C9" s="422">
        <v>621</v>
      </c>
      <c r="D9" s="422">
        <v>628.70000000000005</v>
      </c>
      <c r="E9" s="422">
        <v>670.6</v>
      </c>
      <c r="F9" s="422">
        <v>714.1</v>
      </c>
      <c r="G9" s="422">
        <v>748</v>
      </c>
    </row>
    <row r="10" spans="1:10" ht="18" customHeight="1">
      <c r="A10" s="421"/>
      <c r="B10" s="668" t="s">
        <v>1387</v>
      </c>
      <c r="C10" s="422">
        <v>176.7</v>
      </c>
      <c r="D10" s="422">
        <v>216.4</v>
      </c>
      <c r="E10" s="422">
        <v>215.2</v>
      </c>
      <c r="F10" s="422">
        <v>181.3</v>
      </c>
      <c r="G10" s="422">
        <v>231.5</v>
      </c>
    </row>
    <row r="11" spans="1:10" ht="18" customHeight="1">
      <c r="A11" s="421" t="s">
        <v>1376</v>
      </c>
      <c r="B11" s="668" t="s">
        <v>1388</v>
      </c>
      <c r="C11" s="423">
        <v>4.4000000000000004</v>
      </c>
      <c r="D11" s="423">
        <v>6.5</v>
      </c>
      <c r="E11" s="423">
        <v>7.6</v>
      </c>
      <c r="F11" s="423">
        <v>9.9</v>
      </c>
      <c r="G11" s="423">
        <v>9.9</v>
      </c>
    </row>
    <row r="12" spans="1:10" ht="18" customHeight="1">
      <c r="A12" s="421" t="s">
        <v>1377</v>
      </c>
      <c r="B12" s="668" t="s">
        <v>1389</v>
      </c>
      <c r="C12" s="974" t="s">
        <v>1229</v>
      </c>
      <c r="D12" s="974" t="s">
        <v>1229</v>
      </c>
      <c r="E12" s="974" t="s">
        <v>1229</v>
      </c>
      <c r="F12" s="974" t="s">
        <v>1229</v>
      </c>
      <c r="G12" s="974" t="s">
        <v>1229</v>
      </c>
    </row>
    <row r="13" spans="1:10" ht="18" customHeight="1">
      <c r="A13" s="421" t="s">
        <v>1378</v>
      </c>
      <c r="B13" s="668" t="s">
        <v>1390</v>
      </c>
      <c r="C13" s="424">
        <v>0.4</v>
      </c>
      <c r="D13" s="424">
        <v>0.8</v>
      </c>
      <c r="E13" s="424">
        <v>0.2</v>
      </c>
      <c r="F13" s="424">
        <v>0.5</v>
      </c>
      <c r="G13" s="424">
        <v>0.5</v>
      </c>
    </row>
    <row r="14" spans="1:10" ht="18" customHeight="1">
      <c r="A14" s="421" t="s">
        <v>1379</v>
      </c>
      <c r="B14" s="668" t="s">
        <v>1391</v>
      </c>
      <c r="C14" s="422" t="s">
        <v>1229</v>
      </c>
      <c r="D14" s="422" t="s">
        <v>1229</v>
      </c>
      <c r="E14" s="422" t="s">
        <v>1229</v>
      </c>
      <c r="F14" s="422" t="s">
        <v>1229</v>
      </c>
      <c r="G14" s="422" t="s">
        <v>1229</v>
      </c>
    </row>
    <row r="15" spans="1:10" ht="18" customHeight="1">
      <c r="A15" s="425"/>
      <c r="B15" s="669" t="s">
        <v>1392</v>
      </c>
      <c r="C15" s="426">
        <f>SUM(C11:C14)+C7</f>
        <v>810.2</v>
      </c>
      <c r="D15" s="426">
        <f>SUM(D11:D14)+D7</f>
        <v>863.69999999999993</v>
      </c>
      <c r="E15" s="426">
        <f>SUM(E11:E14)+E7</f>
        <v>910.89999999999986</v>
      </c>
      <c r="F15" s="426">
        <f>SUM(F11:F14)+F7</f>
        <v>914.69999999999993</v>
      </c>
      <c r="G15" s="426">
        <f>SUM(G11:G14)+G7</f>
        <v>1000.8</v>
      </c>
    </row>
    <row r="16" spans="1:10" ht="18" customHeight="1">
      <c r="A16" s="421" t="s">
        <v>1380</v>
      </c>
      <c r="B16" s="668" t="s">
        <v>975</v>
      </c>
      <c r="C16" s="974">
        <v>0.2</v>
      </c>
      <c r="D16" s="974">
        <v>0.4</v>
      </c>
      <c r="E16" s="974">
        <v>0.6</v>
      </c>
      <c r="F16" s="974">
        <v>0.6</v>
      </c>
      <c r="G16" s="974">
        <v>0.7</v>
      </c>
    </row>
    <row r="17" spans="1:7" ht="18" customHeight="1">
      <c r="A17" s="421" t="s">
        <v>1381</v>
      </c>
      <c r="B17" s="668" t="s">
        <v>1393</v>
      </c>
      <c r="C17" s="422">
        <v>0.1</v>
      </c>
      <c r="D17" s="974">
        <v>0.7</v>
      </c>
      <c r="E17" s="974">
        <v>0.2</v>
      </c>
      <c r="F17" s="974">
        <v>0.7</v>
      </c>
      <c r="G17" s="974">
        <v>0.7</v>
      </c>
    </row>
    <row r="18" spans="1:7" ht="18" customHeight="1">
      <c r="A18" s="421" t="s">
        <v>1382</v>
      </c>
      <c r="B18" s="668" t="s">
        <v>1394</v>
      </c>
      <c r="C18" s="422">
        <v>10</v>
      </c>
      <c r="D18" s="422">
        <v>13.4</v>
      </c>
      <c r="E18" s="422">
        <v>14.7</v>
      </c>
      <c r="F18" s="422">
        <v>17.5</v>
      </c>
      <c r="G18" s="422">
        <v>18.399999999999999</v>
      </c>
    </row>
    <row r="19" spans="1:7" ht="18" customHeight="1">
      <c r="A19" s="404"/>
      <c r="B19" s="504" t="s">
        <v>1395</v>
      </c>
      <c r="C19" s="427">
        <f>SUM(C16:C18)</f>
        <v>10.3</v>
      </c>
      <c r="D19" s="427">
        <f>SUM(D16:D18)</f>
        <v>14.5</v>
      </c>
      <c r="E19" s="427">
        <f>SUM(E16:E18)</f>
        <v>15.5</v>
      </c>
      <c r="F19" s="427">
        <f>SUM(F16:F18)</f>
        <v>18.8</v>
      </c>
      <c r="G19" s="427">
        <f>SUM(G16:G18)</f>
        <v>19.799999999999997</v>
      </c>
    </row>
    <row r="20" spans="1:7" ht="18" customHeight="1">
      <c r="A20" s="404"/>
      <c r="B20" s="669" t="s">
        <v>1396</v>
      </c>
      <c r="C20" s="426">
        <f>C15+C19</f>
        <v>820.5</v>
      </c>
      <c r="D20" s="426">
        <f>D15+D19</f>
        <v>878.19999999999993</v>
      </c>
      <c r="E20" s="426">
        <f>E15+E19</f>
        <v>926.39999999999986</v>
      </c>
      <c r="F20" s="426">
        <f>F15+F19</f>
        <v>933.49999999999989</v>
      </c>
      <c r="G20" s="426">
        <f>G15+G19</f>
        <v>1020.5999999999999</v>
      </c>
    </row>
    <row r="21" spans="1:7" ht="18" customHeight="1">
      <c r="A21" s="428" t="s">
        <v>1371</v>
      </c>
      <c r="B21" s="670"/>
      <c r="C21" s="344"/>
      <c r="D21" s="344"/>
      <c r="E21" s="344"/>
      <c r="F21" s="344"/>
      <c r="G21" s="344"/>
    </row>
    <row r="22" spans="1:7" ht="18" customHeight="1">
      <c r="A22" s="431" t="s">
        <v>1375</v>
      </c>
      <c r="B22" s="668" t="s">
        <v>380</v>
      </c>
      <c r="C22" s="422">
        <v>5.6</v>
      </c>
      <c r="D22" s="422">
        <v>5.9</v>
      </c>
      <c r="E22" s="422">
        <v>2.7</v>
      </c>
      <c r="F22" s="422">
        <v>8.1999999999999993</v>
      </c>
      <c r="G22" s="422">
        <v>6.5</v>
      </c>
    </row>
    <row r="23" spans="1:7" ht="18" customHeight="1">
      <c r="A23" s="431" t="s">
        <v>1376</v>
      </c>
      <c r="B23" s="668" t="s">
        <v>255</v>
      </c>
      <c r="C23" s="422" t="s">
        <v>1082</v>
      </c>
      <c r="D23" s="974">
        <v>0.1</v>
      </c>
      <c r="E23" s="974">
        <v>0.1</v>
      </c>
      <c r="F23" s="974">
        <v>0.1</v>
      </c>
      <c r="G23" s="974">
        <v>0.1</v>
      </c>
    </row>
    <row r="24" spans="1:7" ht="18" customHeight="1">
      <c r="A24" s="431" t="s">
        <v>1377</v>
      </c>
      <c r="B24" s="668" t="s">
        <v>1397</v>
      </c>
      <c r="C24" s="422">
        <v>13.4</v>
      </c>
      <c r="D24" s="422">
        <v>7.1</v>
      </c>
      <c r="E24" s="422">
        <v>8.1999999999999993</v>
      </c>
      <c r="F24" s="422">
        <v>8.6999999999999993</v>
      </c>
      <c r="G24" s="422">
        <v>9.3000000000000007</v>
      </c>
    </row>
    <row r="25" spans="1:7" ht="15.75" customHeight="1">
      <c r="A25" s="404"/>
      <c r="B25" s="669" t="s">
        <v>1424</v>
      </c>
      <c r="C25" s="426">
        <f>SUM(C22:C24)</f>
        <v>19</v>
      </c>
      <c r="D25" s="426">
        <f>SUM(D22:D24)</f>
        <v>13.1</v>
      </c>
      <c r="E25" s="426">
        <f>SUM(E22:E24)</f>
        <v>11</v>
      </c>
      <c r="F25" s="426">
        <f>SUM(F22:F24)</f>
        <v>17</v>
      </c>
      <c r="G25" s="426">
        <f>SUM(G22:G24)</f>
        <v>15.9</v>
      </c>
    </row>
    <row r="26" spans="1:7" ht="16.5" customHeight="1">
      <c r="A26" s="428" t="s">
        <v>1370</v>
      </c>
      <c r="B26" s="407"/>
      <c r="C26" s="344"/>
      <c r="D26" s="344"/>
      <c r="E26" s="344"/>
      <c r="F26" s="344"/>
      <c r="G26" s="344"/>
    </row>
    <row r="27" spans="1:7" ht="18" customHeight="1">
      <c r="A27" s="431" t="s">
        <v>1375</v>
      </c>
      <c r="B27" s="668" t="s">
        <v>1425</v>
      </c>
      <c r="C27" s="422">
        <v>30.9</v>
      </c>
      <c r="D27" s="422">
        <v>23.6</v>
      </c>
      <c r="E27" s="422">
        <v>42.4</v>
      </c>
      <c r="F27" s="422">
        <v>49.4</v>
      </c>
      <c r="G27" s="422">
        <v>31.6</v>
      </c>
    </row>
    <row r="28" spans="1:7" ht="18" customHeight="1">
      <c r="A28" s="431" t="s">
        <v>1376</v>
      </c>
      <c r="B28" s="668" t="s">
        <v>1426</v>
      </c>
      <c r="C28" s="422" t="s">
        <v>1229</v>
      </c>
      <c r="D28" s="422">
        <v>0.4</v>
      </c>
      <c r="E28" s="422" t="s">
        <v>1229</v>
      </c>
      <c r="F28" s="422" t="s">
        <v>1229</v>
      </c>
      <c r="G28" s="422" t="s">
        <v>1229</v>
      </c>
    </row>
    <row r="29" spans="1:7" ht="18" customHeight="1">
      <c r="A29" s="431" t="s">
        <v>1377</v>
      </c>
      <c r="B29" s="668" t="s">
        <v>377</v>
      </c>
      <c r="C29" s="422">
        <v>0.8</v>
      </c>
      <c r="D29" s="422">
        <v>1</v>
      </c>
      <c r="E29" s="422">
        <v>0.3</v>
      </c>
      <c r="F29" s="422">
        <v>1.3</v>
      </c>
      <c r="G29" s="422">
        <v>1.1000000000000001</v>
      </c>
    </row>
    <row r="30" spans="1:7" ht="18" customHeight="1">
      <c r="A30" s="432"/>
      <c r="B30" s="669" t="s">
        <v>378</v>
      </c>
      <c r="C30" s="426">
        <f>SUM(C27:C29)</f>
        <v>31.7</v>
      </c>
      <c r="D30" s="426">
        <f>SUM(D27:D29)</f>
        <v>25</v>
      </c>
      <c r="E30" s="426">
        <f>SUM(E27:E29)</f>
        <v>42.699999999999996</v>
      </c>
      <c r="F30" s="426">
        <f>SUM(F27:F29)</f>
        <v>50.699999999999996</v>
      </c>
      <c r="G30" s="426">
        <f>SUM(G27:G29)</f>
        <v>32.700000000000003</v>
      </c>
    </row>
    <row r="31" spans="1:7" ht="15" customHeight="1">
      <c r="A31" s="428" t="s">
        <v>1369</v>
      </c>
      <c r="B31" s="671"/>
      <c r="C31" s="344"/>
      <c r="D31" s="344"/>
      <c r="E31" s="344"/>
      <c r="F31" s="344"/>
      <c r="G31" s="344"/>
    </row>
    <row r="32" spans="1:7" ht="18" customHeight="1">
      <c r="A32" s="431" t="s">
        <v>1375</v>
      </c>
      <c r="B32" s="668" t="s">
        <v>1427</v>
      </c>
      <c r="C32" s="422">
        <v>3.6</v>
      </c>
      <c r="D32" s="422">
        <v>2.2999999999999998</v>
      </c>
      <c r="E32" s="422">
        <v>7.4</v>
      </c>
      <c r="F32" s="422">
        <v>7.5</v>
      </c>
      <c r="G32" s="422">
        <v>2.7</v>
      </c>
    </row>
    <row r="33" spans="1:8" ht="18" customHeight="1">
      <c r="A33" s="431" t="s">
        <v>1376</v>
      </c>
      <c r="B33" s="668" t="s">
        <v>1428</v>
      </c>
      <c r="C33" s="422">
        <v>63.7</v>
      </c>
      <c r="D33" s="422">
        <v>185.9</v>
      </c>
      <c r="E33" s="422">
        <v>188.8</v>
      </c>
      <c r="F33" s="422">
        <v>80</v>
      </c>
      <c r="G33" s="422">
        <v>85.5</v>
      </c>
    </row>
    <row r="34" spans="1:8" ht="18" customHeight="1">
      <c r="A34" s="431" t="s">
        <v>1377</v>
      </c>
      <c r="B34" s="668" t="s">
        <v>1429</v>
      </c>
      <c r="C34" s="422" t="s">
        <v>1229</v>
      </c>
      <c r="D34" s="422" t="s">
        <v>1229</v>
      </c>
      <c r="E34" s="422" t="s">
        <v>1229</v>
      </c>
      <c r="F34" s="422" t="s">
        <v>1229</v>
      </c>
      <c r="G34" s="422" t="s">
        <v>1229</v>
      </c>
    </row>
    <row r="35" spans="1:8" ht="18" customHeight="1">
      <c r="A35" s="431" t="s">
        <v>1378</v>
      </c>
      <c r="B35" s="668" t="s">
        <v>1430</v>
      </c>
      <c r="C35" s="422" t="s">
        <v>1229</v>
      </c>
      <c r="D35" s="422" t="s">
        <v>1229</v>
      </c>
      <c r="E35" s="422" t="s">
        <v>1229</v>
      </c>
      <c r="F35" s="422" t="s">
        <v>1229</v>
      </c>
      <c r="G35" s="422" t="s">
        <v>1229</v>
      </c>
    </row>
    <row r="36" spans="1:8" ht="18" customHeight="1">
      <c r="A36" s="431" t="s">
        <v>1379</v>
      </c>
      <c r="B36" s="668" t="s">
        <v>1431</v>
      </c>
      <c r="C36" s="422">
        <v>11.1</v>
      </c>
      <c r="D36" s="422">
        <v>11.1</v>
      </c>
      <c r="E36" s="422">
        <v>11.5</v>
      </c>
      <c r="F36" s="422">
        <v>11.6</v>
      </c>
      <c r="G36" s="422">
        <v>11.9</v>
      </c>
    </row>
    <row r="37" spans="1:8" ht="18" customHeight="1">
      <c r="A37" s="431" t="s">
        <v>1380</v>
      </c>
      <c r="B37" s="668" t="s">
        <v>1432</v>
      </c>
      <c r="C37" s="422">
        <v>0.3</v>
      </c>
      <c r="D37" s="422">
        <v>0.4</v>
      </c>
      <c r="E37" s="422">
        <v>0.4</v>
      </c>
      <c r="F37" s="422">
        <v>0.4</v>
      </c>
      <c r="G37" s="422">
        <v>0.44400000000000001</v>
      </c>
    </row>
    <row r="38" spans="1:8" ht="18" customHeight="1">
      <c r="A38" s="2009" t="s">
        <v>1433</v>
      </c>
      <c r="B38" s="2010"/>
      <c r="C38" s="616">
        <f>SUM(C32:C37)</f>
        <v>78.699999999999989</v>
      </c>
      <c r="D38" s="616">
        <f>SUM(D32:D37)</f>
        <v>199.70000000000002</v>
      </c>
      <c r="E38" s="616">
        <f>SUM(E32:E37)</f>
        <v>208.10000000000002</v>
      </c>
      <c r="F38" s="616">
        <f>SUM(F32:F37)</f>
        <v>99.5</v>
      </c>
      <c r="G38" s="616">
        <f>SUM(G32:G37)</f>
        <v>100.54400000000001</v>
      </c>
    </row>
    <row r="39" spans="1:8" ht="12.75" customHeight="1">
      <c r="A39" s="1166" t="s">
        <v>738</v>
      </c>
      <c r="B39" s="1166"/>
      <c r="C39" s="1009"/>
      <c r="D39" s="1008" t="s">
        <v>1446</v>
      </c>
      <c r="E39" s="1009" t="s">
        <v>1447</v>
      </c>
      <c r="F39" s="1009"/>
      <c r="G39" s="1009"/>
    </row>
    <row r="40" spans="1:8" ht="12.75" customHeight="1">
      <c r="A40" s="1140" t="s">
        <v>1844</v>
      </c>
      <c r="B40" s="1009"/>
      <c r="C40" s="1009"/>
      <c r="D40" s="1009"/>
      <c r="E40" s="1009" t="s">
        <v>1448</v>
      </c>
      <c r="F40" s="1009"/>
      <c r="G40" s="1009"/>
    </row>
    <row r="41" spans="1:8" ht="12.75" customHeight="1">
      <c r="B41" s="1009"/>
      <c r="C41" s="1009"/>
      <c r="D41" s="1009"/>
      <c r="E41" s="1009"/>
      <c r="F41" s="1009"/>
      <c r="G41" s="1009"/>
    </row>
    <row r="42" spans="1:8" ht="12.75" customHeight="1"/>
    <row r="45" spans="1:8">
      <c r="A45" s="1"/>
      <c r="B45" s="1"/>
      <c r="C45" s="1"/>
      <c r="D45" s="1"/>
      <c r="E45" s="1"/>
      <c r="F45" s="1"/>
      <c r="G45" s="1"/>
    </row>
    <row r="46" spans="1:8">
      <c r="H46" s="1"/>
    </row>
  </sheetData>
  <mergeCells count="6">
    <mergeCell ref="A5:B5"/>
    <mergeCell ref="A38:B38"/>
    <mergeCell ref="A1:G1"/>
    <mergeCell ref="A2:G2"/>
    <mergeCell ref="F3:G3"/>
    <mergeCell ref="A4:B4"/>
  </mergeCells>
  <phoneticPr fontId="0" type="noConversion"/>
  <printOptions horizontalCentered="1"/>
  <pageMargins left="0.1" right="0.1" top="0.78" bottom="0.1" header="0.47" footer="0.1"/>
  <pageSetup paperSize="9" orientation="portrait" blackAndWhite="1" r:id="rId1"/>
  <headerFooter alignWithMargins="0"/>
</worksheet>
</file>

<file path=xl/worksheets/sheet45.xml><?xml version="1.0" encoding="utf-8"?>
<worksheet xmlns="http://schemas.openxmlformats.org/spreadsheetml/2006/main" xmlns:r="http://schemas.openxmlformats.org/officeDocument/2006/relationships">
  <dimension ref="A1:K42"/>
  <sheetViews>
    <sheetView topLeftCell="A22" workbookViewId="0">
      <selection activeCell="J11" sqref="J11"/>
    </sheetView>
  </sheetViews>
  <sheetFormatPr defaultRowHeight="12.75"/>
  <cols>
    <col min="1" max="1" width="3.42578125" customWidth="1"/>
    <col min="2" max="2" width="19.140625" customWidth="1"/>
    <col min="3" max="7" width="10.7109375" customWidth="1"/>
  </cols>
  <sheetData>
    <row r="1" spans="1:11" ht="17.25" customHeight="1">
      <c r="A1" s="1765" t="s">
        <v>1316</v>
      </c>
      <c r="B1" s="1765"/>
      <c r="C1" s="1765"/>
      <c r="D1" s="1765"/>
      <c r="E1" s="1765"/>
      <c r="F1" s="1765"/>
      <c r="G1" s="1765"/>
    </row>
    <row r="2" spans="1:11" ht="19.5" customHeight="1">
      <c r="A2" s="1781" t="str">
        <f>CONCATENATE("Yield rates of Principal Crops in the district of ",District!A1)</f>
        <v>Yield rates of Principal Crops in the district of South 24-Parganas</v>
      </c>
      <c r="B2" s="1781"/>
      <c r="C2" s="1781"/>
      <c r="D2" s="1781"/>
      <c r="E2" s="1781"/>
      <c r="F2" s="1781"/>
      <c r="G2" s="1781"/>
      <c r="H2" s="23"/>
      <c r="I2" s="23"/>
      <c r="J2" s="23"/>
      <c r="K2" s="23"/>
    </row>
    <row r="3" spans="1:11" ht="14.25" customHeight="1">
      <c r="G3" s="94" t="s">
        <v>1451</v>
      </c>
    </row>
    <row r="4" spans="1:11" ht="16.5" customHeight="1">
      <c r="A4" s="2012" t="s">
        <v>1383</v>
      </c>
      <c r="B4" s="2013"/>
      <c r="C4" s="666" t="s">
        <v>1317</v>
      </c>
      <c r="D4" s="666" t="s">
        <v>221</v>
      </c>
      <c r="E4" s="666" t="s">
        <v>1301</v>
      </c>
      <c r="F4" s="666" t="s">
        <v>621</v>
      </c>
      <c r="G4" s="666" t="s">
        <v>206</v>
      </c>
    </row>
    <row r="5" spans="1:11" ht="16.5" customHeight="1">
      <c r="A5" s="1716" t="s">
        <v>928</v>
      </c>
      <c r="B5" s="2002"/>
      <c r="C5" s="199" t="s">
        <v>929</v>
      </c>
      <c r="D5" s="119" t="s">
        <v>930</v>
      </c>
      <c r="E5" s="199" t="s">
        <v>931</v>
      </c>
      <c r="F5" s="119" t="s">
        <v>932</v>
      </c>
      <c r="G5" s="199" t="s">
        <v>933</v>
      </c>
      <c r="I5" s="6"/>
    </row>
    <row r="6" spans="1:11" ht="19.5" customHeight="1">
      <c r="A6" s="402" t="s">
        <v>1374</v>
      </c>
      <c r="B6" s="233"/>
      <c r="C6" s="418"/>
      <c r="D6" s="406"/>
      <c r="E6" s="405"/>
      <c r="F6" s="406"/>
      <c r="G6" s="405"/>
    </row>
    <row r="7" spans="1:11" ht="19.5" customHeight="1">
      <c r="A7" s="421" t="s">
        <v>1375</v>
      </c>
      <c r="B7" s="433" t="s">
        <v>1384</v>
      </c>
      <c r="C7" s="1002">
        <v>2098</v>
      </c>
      <c r="D7" s="1002">
        <v>2302</v>
      </c>
      <c r="E7" s="1002">
        <v>2322</v>
      </c>
      <c r="F7" s="1002">
        <v>2390</v>
      </c>
      <c r="G7" s="1002">
        <v>2515</v>
      </c>
    </row>
    <row r="8" spans="1:11" ht="19.5" customHeight="1">
      <c r="A8" s="421"/>
      <c r="B8" s="412" t="s">
        <v>1385</v>
      </c>
      <c r="C8" s="77">
        <v>2277</v>
      </c>
      <c r="D8" s="77">
        <v>1969</v>
      </c>
      <c r="E8" s="77">
        <v>2342</v>
      </c>
      <c r="F8" s="77">
        <v>2305</v>
      </c>
      <c r="G8" s="77">
        <v>2708</v>
      </c>
    </row>
    <row r="9" spans="1:11" ht="19.5" customHeight="1">
      <c r="A9" s="421"/>
      <c r="B9" s="412" t="s">
        <v>1386</v>
      </c>
      <c r="C9" s="77">
        <v>1976</v>
      </c>
      <c r="D9" s="77">
        <v>2110</v>
      </c>
      <c r="E9" s="77">
        <v>2136</v>
      </c>
      <c r="F9" s="77">
        <v>2273</v>
      </c>
      <c r="G9" s="77">
        <v>2361</v>
      </c>
    </row>
    <row r="10" spans="1:11" ht="19.5" customHeight="1">
      <c r="A10" s="421"/>
      <c r="B10" s="412" t="s">
        <v>1387</v>
      </c>
      <c r="C10" s="77">
        <v>2662</v>
      </c>
      <c r="D10" s="77">
        <v>3168</v>
      </c>
      <c r="E10" s="77">
        <v>3184</v>
      </c>
      <c r="F10" s="77">
        <v>3008</v>
      </c>
      <c r="G10" s="77">
        <v>3173</v>
      </c>
    </row>
    <row r="11" spans="1:11" ht="19.5" customHeight="1">
      <c r="A11" s="421" t="s">
        <v>1376</v>
      </c>
      <c r="B11" s="436" t="s">
        <v>1388</v>
      </c>
      <c r="C11" s="434">
        <v>2079</v>
      </c>
      <c r="D11" s="434">
        <v>2557</v>
      </c>
      <c r="E11" s="434">
        <v>3061</v>
      </c>
      <c r="F11" s="434">
        <v>2920</v>
      </c>
      <c r="G11" s="434">
        <v>2840</v>
      </c>
    </row>
    <row r="12" spans="1:11" ht="19.5" customHeight="1">
      <c r="A12" s="421" t="s">
        <v>1377</v>
      </c>
      <c r="B12" s="412" t="s">
        <v>1389</v>
      </c>
      <c r="C12" s="77" t="s">
        <v>1229</v>
      </c>
      <c r="D12" s="77" t="s">
        <v>1229</v>
      </c>
      <c r="E12" s="77" t="s">
        <v>1229</v>
      </c>
      <c r="F12" s="77" t="s">
        <v>1229</v>
      </c>
      <c r="G12" s="77" t="s">
        <v>1229</v>
      </c>
    </row>
    <row r="13" spans="1:11" ht="19.5" customHeight="1">
      <c r="A13" s="421" t="s">
        <v>1378</v>
      </c>
      <c r="B13" s="412" t="s">
        <v>1390</v>
      </c>
      <c r="C13" s="434">
        <v>1357</v>
      </c>
      <c r="D13" s="434">
        <v>2120</v>
      </c>
      <c r="E13" s="434">
        <v>1426</v>
      </c>
      <c r="F13" s="434">
        <v>2614</v>
      </c>
      <c r="G13" s="434">
        <v>2038</v>
      </c>
    </row>
    <row r="14" spans="1:11" ht="19.5" customHeight="1">
      <c r="A14" s="421" t="s">
        <v>1379</v>
      </c>
      <c r="B14" s="412" t="s">
        <v>1391</v>
      </c>
      <c r="C14" s="77" t="s">
        <v>1229</v>
      </c>
      <c r="D14" s="77" t="s">
        <v>1229</v>
      </c>
      <c r="E14" s="77" t="s">
        <v>1229</v>
      </c>
      <c r="F14" s="77" t="s">
        <v>1229</v>
      </c>
      <c r="G14" s="77" t="s">
        <v>1229</v>
      </c>
    </row>
    <row r="15" spans="1:11" ht="19.5" customHeight="1">
      <c r="A15" s="2015" t="s">
        <v>1392</v>
      </c>
      <c r="B15" s="2016"/>
      <c r="C15" s="498">
        <v>2097</v>
      </c>
      <c r="D15" s="498">
        <v>2304</v>
      </c>
      <c r="E15" s="498">
        <v>2326</v>
      </c>
      <c r="F15" s="498">
        <v>2395</v>
      </c>
      <c r="G15" s="498">
        <v>2517</v>
      </c>
    </row>
    <row r="16" spans="1:11" ht="19.5" customHeight="1">
      <c r="A16" s="421" t="s">
        <v>1380</v>
      </c>
      <c r="B16" s="412" t="s">
        <v>975</v>
      </c>
      <c r="C16" s="77">
        <v>1024</v>
      </c>
      <c r="D16" s="77">
        <v>918</v>
      </c>
      <c r="E16" s="77">
        <v>1063</v>
      </c>
      <c r="F16" s="77">
        <v>1055</v>
      </c>
      <c r="G16" s="77">
        <v>1113</v>
      </c>
    </row>
    <row r="17" spans="1:9" ht="19.5" customHeight="1">
      <c r="A17" s="421" t="s">
        <v>1381</v>
      </c>
      <c r="B17" s="412" t="s">
        <v>1393</v>
      </c>
      <c r="C17" s="77">
        <v>1327</v>
      </c>
      <c r="D17" s="77">
        <v>1626</v>
      </c>
      <c r="E17" s="77">
        <v>448</v>
      </c>
      <c r="F17" s="77">
        <v>1403</v>
      </c>
      <c r="G17" s="77">
        <v>1556</v>
      </c>
    </row>
    <row r="18" spans="1:9" ht="19.5" customHeight="1">
      <c r="A18" s="421" t="s">
        <v>1382</v>
      </c>
      <c r="B18" s="412" t="s">
        <v>1394</v>
      </c>
      <c r="C18" s="77">
        <v>723</v>
      </c>
      <c r="D18" s="77">
        <v>900</v>
      </c>
      <c r="E18" s="77">
        <v>808</v>
      </c>
      <c r="F18" s="77">
        <v>795</v>
      </c>
      <c r="G18" s="77">
        <v>797</v>
      </c>
    </row>
    <row r="19" spans="1:9" ht="19.5" customHeight="1">
      <c r="A19" s="404"/>
      <c r="B19" s="409" t="s">
        <v>1395</v>
      </c>
      <c r="C19" s="437">
        <v>730</v>
      </c>
      <c r="D19" s="437">
        <v>921</v>
      </c>
      <c r="E19" s="437">
        <v>810</v>
      </c>
      <c r="F19" s="437">
        <v>812</v>
      </c>
      <c r="G19" s="437">
        <v>819</v>
      </c>
    </row>
    <row r="20" spans="1:9" ht="19.5" customHeight="1">
      <c r="A20" s="2015" t="s">
        <v>1396</v>
      </c>
      <c r="B20" s="2016"/>
      <c r="C20" s="193">
        <v>2049</v>
      </c>
      <c r="D20" s="193">
        <v>2248</v>
      </c>
      <c r="E20" s="193">
        <v>2255</v>
      </c>
      <c r="F20" s="193">
        <v>2304</v>
      </c>
      <c r="G20" s="193">
        <v>2420</v>
      </c>
    </row>
    <row r="21" spans="1:9" ht="19.5" customHeight="1">
      <c r="A21" s="428" t="s">
        <v>1371</v>
      </c>
      <c r="B21" s="438"/>
      <c r="C21" s="77"/>
      <c r="D21" s="77"/>
      <c r="E21" s="77"/>
      <c r="F21" s="77"/>
      <c r="G21" s="77"/>
    </row>
    <row r="22" spans="1:9" ht="19.5" customHeight="1">
      <c r="A22" s="431" t="s">
        <v>1375</v>
      </c>
      <c r="B22" s="412" t="s">
        <v>380</v>
      </c>
      <c r="C22" s="77">
        <v>1250</v>
      </c>
      <c r="D22" s="77">
        <v>2082</v>
      </c>
      <c r="E22" s="77">
        <v>538</v>
      </c>
      <c r="F22" s="77">
        <v>1479</v>
      </c>
      <c r="G22" s="77">
        <v>1394</v>
      </c>
    </row>
    <row r="23" spans="1:9" ht="19.5" customHeight="1">
      <c r="A23" s="431" t="s">
        <v>1376</v>
      </c>
      <c r="B23" s="412" t="s">
        <v>255</v>
      </c>
      <c r="C23" s="77">
        <v>455</v>
      </c>
      <c r="D23" s="77">
        <v>466</v>
      </c>
      <c r="E23" s="77">
        <v>351</v>
      </c>
      <c r="F23" s="77">
        <v>397</v>
      </c>
      <c r="G23" s="77">
        <v>410</v>
      </c>
    </row>
    <row r="24" spans="1:9" ht="19.5" customHeight="1">
      <c r="A24" s="431" t="s">
        <v>1377</v>
      </c>
      <c r="B24" s="412" t="s">
        <v>1397</v>
      </c>
      <c r="C24" s="77">
        <v>1216</v>
      </c>
      <c r="D24" s="77">
        <v>1015</v>
      </c>
      <c r="E24" s="77">
        <v>1079</v>
      </c>
      <c r="F24" s="77">
        <v>1176</v>
      </c>
      <c r="G24" s="77">
        <v>1306</v>
      </c>
    </row>
    <row r="25" spans="1:9" ht="19.5" customHeight="1">
      <c r="A25" s="2015" t="s">
        <v>1424</v>
      </c>
      <c r="B25" s="2016"/>
      <c r="C25" s="193">
        <v>1222</v>
      </c>
      <c r="D25" s="193">
        <v>1309</v>
      </c>
      <c r="E25" s="193">
        <v>863</v>
      </c>
      <c r="F25" s="193">
        <v>1297</v>
      </c>
      <c r="G25" s="193">
        <v>1330</v>
      </c>
    </row>
    <row r="26" spans="1:9" ht="19.5" customHeight="1">
      <c r="A26" s="428" t="s">
        <v>379</v>
      </c>
      <c r="B26" s="406"/>
      <c r="C26" s="77"/>
      <c r="D26" s="77"/>
      <c r="E26" s="77"/>
      <c r="F26" s="77"/>
      <c r="G26" s="77"/>
    </row>
    <row r="27" spans="1:9" ht="19.5" customHeight="1">
      <c r="A27" s="431" t="s">
        <v>1375</v>
      </c>
      <c r="B27" s="412" t="s">
        <v>1425</v>
      </c>
      <c r="C27" s="279">
        <v>12.2</v>
      </c>
      <c r="D27" s="279">
        <v>11.6</v>
      </c>
      <c r="E27" s="279">
        <v>12.81</v>
      </c>
      <c r="F27" s="279">
        <v>19.34</v>
      </c>
      <c r="G27" s="279">
        <v>21.15</v>
      </c>
    </row>
    <row r="28" spans="1:9" ht="19.5" customHeight="1">
      <c r="A28" s="431" t="s">
        <v>1376</v>
      </c>
      <c r="B28" s="412" t="s">
        <v>1426</v>
      </c>
      <c r="C28" s="279" t="s">
        <v>1229</v>
      </c>
      <c r="D28" s="1130">
        <v>9.6999999999999993</v>
      </c>
      <c r="E28" s="279" t="s">
        <v>1229</v>
      </c>
      <c r="F28" s="279" t="s">
        <v>1229</v>
      </c>
      <c r="G28" s="279" t="s">
        <v>1229</v>
      </c>
    </row>
    <row r="29" spans="1:9" ht="19.5" customHeight="1">
      <c r="A29" s="431" t="s">
        <v>1377</v>
      </c>
      <c r="B29" s="412" t="s">
        <v>377</v>
      </c>
      <c r="C29" s="279">
        <v>1.8</v>
      </c>
      <c r="D29" s="279">
        <v>1.7</v>
      </c>
      <c r="E29" s="279">
        <v>5</v>
      </c>
      <c r="F29" s="279">
        <v>4.5</v>
      </c>
      <c r="G29" s="279">
        <v>3.76</v>
      </c>
    </row>
    <row r="30" spans="1:9" ht="19.5" customHeight="1">
      <c r="A30" s="2015" t="s">
        <v>378</v>
      </c>
      <c r="B30" s="2016"/>
      <c r="C30" s="366">
        <v>10.6</v>
      </c>
      <c r="D30" s="366">
        <v>9.3000000000000007</v>
      </c>
      <c r="E30" s="366">
        <v>12.6</v>
      </c>
      <c r="F30" s="366">
        <v>17.48</v>
      </c>
      <c r="G30" s="366">
        <v>18.349</v>
      </c>
      <c r="I30" s="861"/>
    </row>
    <row r="31" spans="1:9" ht="19.5" customHeight="1">
      <c r="A31" s="428" t="s">
        <v>506</v>
      </c>
      <c r="B31" s="429"/>
      <c r="C31" s="77"/>
      <c r="D31" s="77"/>
      <c r="E31" s="77"/>
      <c r="F31" s="77"/>
      <c r="G31" s="77"/>
    </row>
    <row r="32" spans="1:9" ht="19.5" customHeight="1">
      <c r="A32" s="431" t="s">
        <v>1375</v>
      </c>
      <c r="B32" s="412" t="s">
        <v>1427</v>
      </c>
      <c r="C32" s="77">
        <v>47088</v>
      </c>
      <c r="D32" s="77">
        <v>81190</v>
      </c>
      <c r="E32" s="77">
        <v>85671</v>
      </c>
      <c r="F32" s="77">
        <v>101324</v>
      </c>
      <c r="G32" s="77">
        <v>100222</v>
      </c>
    </row>
    <row r="33" spans="1:7" ht="19.5" customHeight="1">
      <c r="A33" s="431" t="s">
        <v>1376</v>
      </c>
      <c r="B33" s="412" t="s">
        <v>1428</v>
      </c>
      <c r="C33" s="77">
        <v>21163</v>
      </c>
      <c r="D33" s="77">
        <v>25558</v>
      </c>
      <c r="E33" s="77">
        <v>23688</v>
      </c>
      <c r="F33" s="77">
        <v>23931</v>
      </c>
      <c r="G33" s="77">
        <v>29088</v>
      </c>
    </row>
    <row r="34" spans="1:7" ht="19.5" customHeight="1">
      <c r="A34" s="431" t="s">
        <v>1377</v>
      </c>
      <c r="B34" s="412" t="s">
        <v>1429</v>
      </c>
      <c r="C34" s="498" t="s">
        <v>1229</v>
      </c>
      <c r="D34" s="498" t="s">
        <v>1229</v>
      </c>
      <c r="E34" s="498" t="s">
        <v>1229</v>
      </c>
      <c r="F34" s="498" t="s">
        <v>1229</v>
      </c>
      <c r="G34" s="498" t="s">
        <v>1229</v>
      </c>
    </row>
    <row r="35" spans="1:7" ht="19.5" customHeight="1">
      <c r="A35" s="431" t="s">
        <v>1378</v>
      </c>
      <c r="B35" s="412" t="s">
        <v>1430</v>
      </c>
      <c r="C35" s="498" t="s">
        <v>1229</v>
      </c>
      <c r="D35" s="498" t="s">
        <v>1229</v>
      </c>
      <c r="E35" s="498" t="s">
        <v>1229</v>
      </c>
      <c r="F35" s="498" t="s">
        <v>1229</v>
      </c>
      <c r="G35" s="498" t="s">
        <v>1229</v>
      </c>
    </row>
    <row r="36" spans="1:7" ht="19.5" customHeight="1">
      <c r="A36" s="431" t="s">
        <v>1379</v>
      </c>
      <c r="B36" s="412" t="s">
        <v>1431</v>
      </c>
      <c r="C36" s="77">
        <v>2255</v>
      </c>
      <c r="D36" s="77">
        <v>2259</v>
      </c>
      <c r="E36" s="77">
        <v>2255</v>
      </c>
      <c r="F36" s="77">
        <v>2257</v>
      </c>
      <c r="G36" s="77">
        <v>2264</v>
      </c>
    </row>
    <row r="37" spans="1:7" ht="19.5" customHeight="1">
      <c r="A37" s="431" t="s">
        <v>1380</v>
      </c>
      <c r="B37" s="412" t="s">
        <v>1432</v>
      </c>
      <c r="C37" s="77">
        <v>1397</v>
      </c>
      <c r="D37" s="77">
        <v>1504</v>
      </c>
      <c r="E37" s="77">
        <v>1515</v>
      </c>
      <c r="F37" s="77">
        <v>1542</v>
      </c>
      <c r="G37" s="77">
        <v>1728</v>
      </c>
    </row>
    <row r="38" spans="1:7" ht="19.5" customHeight="1">
      <c r="A38" s="2009" t="s">
        <v>1433</v>
      </c>
      <c r="B38" s="2014"/>
      <c r="C38" s="601">
        <v>9598</v>
      </c>
      <c r="D38" s="601">
        <v>16105</v>
      </c>
      <c r="E38" s="601">
        <v>15530</v>
      </c>
      <c r="F38" s="601">
        <v>11437</v>
      </c>
      <c r="G38" s="601">
        <v>11836</v>
      </c>
    </row>
    <row r="39" spans="1:7" ht="12.75" customHeight="1">
      <c r="A39" s="1009" t="s">
        <v>918</v>
      </c>
      <c r="B39" s="1009"/>
      <c r="C39" s="1009"/>
      <c r="D39" s="1008" t="s">
        <v>1446</v>
      </c>
      <c r="E39" s="1009" t="s">
        <v>1447</v>
      </c>
      <c r="F39" s="1009"/>
      <c r="G39" s="1009"/>
    </row>
    <row r="40" spans="1:7" ht="12.75" customHeight="1">
      <c r="A40" s="1009"/>
      <c r="B40" s="1009"/>
      <c r="C40" s="1009"/>
      <c r="D40" s="1009"/>
      <c r="E40" s="1009" t="s">
        <v>1448</v>
      </c>
      <c r="F40" s="1009"/>
      <c r="G40" s="1009"/>
    </row>
    <row r="42" spans="1:7">
      <c r="A42" s="1"/>
      <c r="B42" s="1"/>
      <c r="C42" s="1"/>
      <c r="D42" s="1"/>
      <c r="E42" s="1"/>
      <c r="F42" s="1"/>
      <c r="G42" s="1"/>
    </row>
  </sheetData>
  <mergeCells count="9">
    <mergeCell ref="A4:B4"/>
    <mergeCell ref="A1:G1"/>
    <mergeCell ref="A2:G2"/>
    <mergeCell ref="A38:B38"/>
    <mergeCell ref="A25:B25"/>
    <mergeCell ref="A30:B30"/>
    <mergeCell ref="A5:B5"/>
    <mergeCell ref="A15:B15"/>
    <mergeCell ref="A20:B20"/>
  </mergeCells>
  <phoneticPr fontId="0" type="noConversion"/>
  <printOptions horizontalCentered="1"/>
  <pageMargins left="0.1" right="0.1" top="0.61" bottom="0.1" header="0.5" footer="0.1"/>
  <pageSetup paperSize="9" orientation="portrait" blackAndWhite="1" r:id="rId1"/>
  <headerFooter alignWithMargins="0"/>
</worksheet>
</file>

<file path=xl/worksheets/sheet46.xml><?xml version="1.0" encoding="utf-8"?>
<worksheet xmlns="http://schemas.openxmlformats.org/spreadsheetml/2006/main" xmlns:r="http://schemas.openxmlformats.org/officeDocument/2006/relationships">
  <dimension ref="A1:L29"/>
  <sheetViews>
    <sheetView workbookViewId="0">
      <selection activeCell="N14" sqref="N14"/>
    </sheetView>
  </sheetViews>
  <sheetFormatPr defaultRowHeight="12.75"/>
  <cols>
    <col min="1" max="1" width="19.28515625" customWidth="1"/>
    <col min="2" max="2" width="10.7109375" customWidth="1"/>
    <col min="3" max="3" width="11.5703125" customWidth="1"/>
    <col min="4" max="4" width="10.7109375" customWidth="1"/>
    <col min="5" max="5" width="11.5703125" customWidth="1"/>
    <col min="6" max="6" width="10.7109375" customWidth="1"/>
    <col min="7" max="7" width="11.5703125" customWidth="1"/>
    <col min="8" max="8" width="10.7109375" customWidth="1"/>
    <col min="9" max="9" width="11.5703125" customWidth="1"/>
    <col min="10" max="10" width="10.7109375" customWidth="1"/>
    <col min="11" max="11" width="14.7109375" customWidth="1"/>
  </cols>
  <sheetData>
    <row r="1" spans="1:12" ht="15" customHeight="1">
      <c r="A1" s="1899" t="s">
        <v>1318</v>
      </c>
      <c r="B1" s="1899"/>
      <c r="C1" s="1899"/>
      <c r="D1" s="1899"/>
      <c r="E1" s="1899"/>
      <c r="F1" s="1899"/>
      <c r="G1" s="1899"/>
      <c r="H1" s="1899"/>
      <c r="I1" s="1899"/>
      <c r="J1" s="1899"/>
      <c r="K1" s="1899"/>
    </row>
    <row r="2" spans="1:12" s="2" customFormat="1" ht="17.25" customHeight="1">
      <c r="A2" s="1771" t="str">
        <f>CONCATENATE("Yield rates of some Selected Crops in the district of ",District!A1," and West Bengal")</f>
        <v>Yield rates of some Selected Crops in the district of South 24-Parganas and West Bengal</v>
      </c>
      <c r="B2" s="1771"/>
      <c r="C2" s="1771"/>
      <c r="D2" s="1771"/>
      <c r="E2" s="1771"/>
      <c r="F2" s="1771"/>
      <c r="G2" s="1771"/>
      <c r="H2" s="1771"/>
      <c r="I2" s="1771"/>
      <c r="J2" s="1771"/>
      <c r="K2" s="1771"/>
    </row>
    <row r="3" spans="1:12" ht="15.95" customHeight="1">
      <c r="K3" s="94" t="s">
        <v>1451</v>
      </c>
    </row>
    <row r="4" spans="1:12" ht="15.95" customHeight="1">
      <c r="A4" s="1733" t="s">
        <v>1383</v>
      </c>
      <c r="B4" s="1732" t="s">
        <v>1317</v>
      </c>
      <c r="C4" s="1714"/>
      <c r="D4" s="1732" t="s">
        <v>221</v>
      </c>
      <c r="E4" s="1714"/>
      <c r="F4" s="1732" t="s">
        <v>1301</v>
      </c>
      <c r="G4" s="1714"/>
      <c r="H4" s="1732" t="s">
        <v>621</v>
      </c>
      <c r="I4" s="1714"/>
      <c r="J4" s="1732" t="s">
        <v>206</v>
      </c>
      <c r="K4" s="1714"/>
    </row>
    <row r="5" spans="1:12" ht="15.95" customHeight="1">
      <c r="A5" s="1735"/>
      <c r="B5" s="672" t="s">
        <v>1452</v>
      </c>
      <c r="C5" s="457" t="s">
        <v>1453</v>
      </c>
      <c r="D5" s="672" t="s">
        <v>1452</v>
      </c>
      <c r="E5" s="457" t="s">
        <v>1453</v>
      </c>
      <c r="F5" s="672" t="s">
        <v>1452</v>
      </c>
      <c r="G5" s="457" t="s">
        <v>1453</v>
      </c>
      <c r="H5" s="672" t="s">
        <v>1452</v>
      </c>
      <c r="I5" s="457" t="s">
        <v>1453</v>
      </c>
      <c r="J5" s="1076" t="s">
        <v>1452</v>
      </c>
      <c r="K5" s="1613" t="s">
        <v>1453</v>
      </c>
    </row>
    <row r="6" spans="1:12" ht="15.95" customHeight="1">
      <c r="A6" s="196" t="s">
        <v>928</v>
      </c>
      <c r="B6" s="196" t="s">
        <v>929</v>
      </c>
      <c r="C6" s="304" t="s">
        <v>930</v>
      </c>
      <c r="D6" s="196" t="s">
        <v>931</v>
      </c>
      <c r="E6" s="304" t="s">
        <v>932</v>
      </c>
      <c r="F6" s="196" t="s">
        <v>933</v>
      </c>
      <c r="G6" s="120" t="s">
        <v>934</v>
      </c>
      <c r="H6" s="123" t="s">
        <v>959</v>
      </c>
      <c r="I6" s="122" t="s">
        <v>960</v>
      </c>
      <c r="J6" s="123" t="s">
        <v>961</v>
      </c>
      <c r="K6" s="122" t="s">
        <v>962</v>
      </c>
    </row>
    <row r="7" spans="1:12" ht="18" customHeight="1">
      <c r="A7" s="753" t="s">
        <v>1384</v>
      </c>
      <c r="B7" s="79">
        <v>2098</v>
      </c>
      <c r="C7" s="634">
        <v>2547</v>
      </c>
      <c r="D7" s="79">
        <v>2302</v>
      </c>
      <c r="E7" s="634">
        <v>2708</v>
      </c>
      <c r="F7" s="634">
        <v>2322</v>
      </c>
      <c r="G7" s="82">
        <v>2688</v>
      </c>
      <c r="H7" s="634">
        <v>2390</v>
      </c>
      <c r="I7" s="82">
        <v>2745</v>
      </c>
      <c r="J7" s="634">
        <v>2515</v>
      </c>
      <c r="K7" s="82">
        <v>2789</v>
      </c>
    </row>
    <row r="8" spans="1:12" ht="18" customHeight="1">
      <c r="A8" s="753" t="s">
        <v>1388</v>
      </c>
      <c r="B8" s="79">
        <v>2079</v>
      </c>
      <c r="C8" s="85">
        <v>2680</v>
      </c>
      <c r="D8" s="79">
        <v>2557</v>
      </c>
      <c r="E8" s="85">
        <v>2760</v>
      </c>
      <c r="F8" s="85">
        <v>3061</v>
      </c>
      <c r="G8" s="82">
        <v>2765</v>
      </c>
      <c r="H8" s="85">
        <v>2920</v>
      </c>
      <c r="I8" s="82">
        <v>2786</v>
      </c>
      <c r="J8" s="85">
        <v>2840</v>
      </c>
      <c r="K8" s="82">
        <v>2799</v>
      </c>
    </row>
    <row r="9" spans="1:12" ht="18" customHeight="1">
      <c r="A9" s="753" t="s">
        <v>975</v>
      </c>
      <c r="B9" s="79">
        <v>1024</v>
      </c>
      <c r="C9" s="85">
        <v>1110</v>
      </c>
      <c r="D9" s="79">
        <v>918</v>
      </c>
      <c r="E9" s="85">
        <v>1069</v>
      </c>
      <c r="F9" s="85">
        <v>1063</v>
      </c>
      <c r="G9" s="82">
        <v>1049</v>
      </c>
      <c r="H9" s="85">
        <v>1055</v>
      </c>
      <c r="I9" s="82">
        <v>1176</v>
      </c>
      <c r="J9" s="85">
        <v>1113</v>
      </c>
      <c r="K9" s="82">
        <v>1175</v>
      </c>
      <c r="L9" s="544"/>
    </row>
    <row r="10" spans="1:12" ht="18" customHeight="1">
      <c r="A10" s="808" t="s">
        <v>1425</v>
      </c>
      <c r="B10" s="79">
        <v>2196</v>
      </c>
      <c r="C10" s="85">
        <v>2573</v>
      </c>
      <c r="D10" s="79">
        <v>2088</v>
      </c>
      <c r="E10" s="85">
        <v>2576</v>
      </c>
      <c r="F10" s="85">
        <v>2306</v>
      </c>
      <c r="G10" s="82">
        <v>2572</v>
      </c>
      <c r="H10" s="85">
        <v>3481</v>
      </c>
      <c r="I10" s="82">
        <v>2569</v>
      </c>
      <c r="J10" s="85">
        <v>3807</v>
      </c>
      <c r="K10" s="82">
        <v>2788</v>
      </c>
    </row>
    <row r="11" spans="1:12" ht="21.75" customHeight="1">
      <c r="A11" s="808" t="s">
        <v>380</v>
      </c>
      <c r="B11" s="79">
        <v>1250</v>
      </c>
      <c r="C11" s="85">
        <v>850</v>
      </c>
      <c r="D11" s="79">
        <v>2082</v>
      </c>
      <c r="E11" s="85">
        <v>1021</v>
      </c>
      <c r="F11" s="85">
        <v>538</v>
      </c>
      <c r="G11" s="82">
        <v>908</v>
      </c>
      <c r="H11" s="85">
        <v>1479</v>
      </c>
      <c r="I11" s="82">
        <v>1062</v>
      </c>
      <c r="J11" s="85">
        <v>1394</v>
      </c>
      <c r="K11" s="82">
        <v>1066</v>
      </c>
    </row>
    <row r="12" spans="1:12" ht="18" customHeight="1">
      <c r="A12" s="753" t="s">
        <v>1428</v>
      </c>
      <c r="B12" s="79">
        <v>21163</v>
      </c>
      <c r="C12" s="85">
        <v>35768</v>
      </c>
      <c r="D12" s="79">
        <v>25558</v>
      </c>
      <c r="E12" s="85">
        <v>32831</v>
      </c>
      <c r="F12" s="85">
        <v>23688</v>
      </c>
      <c r="G12" s="82">
        <v>25641</v>
      </c>
      <c r="H12" s="85">
        <v>23931</v>
      </c>
      <c r="I12" s="82">
        <v>29869</v>
      </c>
      <c r="J12" s="85">
        <v>29088</v>
      </c>
      <c r="K12" s="82">
        <v>21955</v>
      </c>
    </row>
    <row r="13" spans="1:12" ht="18" customHeight="1">
      <c r="A13" s="348" t="s">
        <v>1430</v>
      </c>
      <c r="B13" s="263" t="s">
        <v>1229</v>
      </c>
      <c r="C13" s="302" t="s">
        <v>583</v>
      </c>
      <c r="D13" s="1121" t="s">
        <v>1229</v>
      </c>
      <c r="E13" s="441" t="s">
        <v>584</v>
      </c>
      <c r="F13" s="441" t="s">
        <v>1229</v>
      </c>
      <c r="G13" s="1682" t="s">
        <v>1937</v>
      </c>
      <c r="H13" s="441" t="s">
        <v>1229</v>
      </c>
      <c r="I13" s="75">
        <v>2046</v>
      </c>
      <c r="J13" s="441" t="s">
        <v>1229</v>
      </c>
      <c r="K13" s="75">
        <v>2222</v>
      </c>
    </row>
    <row r="14" spans="1:12">
      <c r="C14" s="9"/>
      <c r="H14" s="1008" t="s">
        <v>1446</v>
      </c>
      <c r="I14" s="1148" t="s">
        <v>1447</v>
      </c>
      <c r="J14" s="1009"/>
      <c r="K14" s="1009"/>
    </row>
    <row r="15" spans="1:12">
      <c r="F15" s="156"/>
      <c r="H15" s="1009"/>
      <c r="I15" s="1009" t="s">
        <v>1448</v>
      </c>
      <c r="J15" s="1009"/>
      <c r="K15" s="1009"/>
    </row>
    <row r="16" spans="1:12">
      <c r="H16" s="1009"/>
      <c r="I16" s="1009" t="s">
        <v>1494</v>
      </c>
      <c r="J16" s="1009"/>
      <c r="K16" s="1009"/>
    </row>
    <row r="17" spans="1:12">
      <c r="G17" s="129"/>
      <c r="H17" s="98"/>
      <c r="I17" s="129"/>
      <c r="J17" s="129"/>
    </row>
    <row r="18" spans="1:12">
      <c r="A18" s="1928" t="s">
        <v>1319</v>
      </c>
      <c r="B18" s="1928"/>
      <c r="C18" s="1928"/>
      <c r="D18" s="1928"/>
      <c r="E18" s="1928"/>
      <c r="F18" s="1928"/>
      <c r="G18" s="1928"/>
      <c r="H18" s="1928"/>
      <c r="I18" s="1928"/>
      <c r="J18" s="1928"/>
      <c r="K18" s="1928"/>
    </row>
    <row r="19" spans="1:12" ht="16.5" customHeight="1">
      <c r="A19" s="1730" t="str">
        <f>CONCATENATE("Index Numbers of Agricultural Area, Production &amp; Productivity in the district of ",District!$A$1)</f>
        <v>Index Numbers of Agricultural Area, Production &amp; Productivity in the district of South 24-Parganas</v>
      </c>
      <c r="B19" s="1730"/>
      <c r="C19" s="1730"/>
      <c r="D19" s="1730"/>
      <c r="E19" s="1730"/>
      <c r="F19" s="1730"/>
      <c r="G19" s="1730"/>
      <c r="H19" s="1730"/>
      <c r="I19" s="1730"/>
      <c r="J19" s="1730"/>
      <c r="K19" s="1730"/>
    </row>
    <row r="20" spans="1:12" ht="15.75" customHeight="1">
      <c r="A20" s="2019" t="s">
        <v>667</v>
      </c>
      <c r="B20" s="2019"/>
      <c r="C20" s="2019"/>
      <c r="D20" s="2019"/>
      <c r="E20" s="2019"/>
      <c r="F20" s="2019"/>
      <c r="G20" s="2019"/>
      <c r="H20" s="2019"/>
      <c r="I20" s="2019"/>
      <c r="J20" s="2019"/>
      <c r="K20" s="2019"/>
    </row>
    <row r="21" spans="1:12" ht="15.95" customHeight="1">
      <c r="A21" s="1733" t="s">
        <v>671</v>
      </c>
      <c r="B21" s="1926" t="s">
        <v>261</v>
      </c>
      <c r="C21" s="1926"/>
      <c r="D21" s="1926"/>
      <c r="E21" s="1926"/>
      <c r="F21" s="1941" t="s">
        <v>1496</v>
      </c>
      <c r="G21" s="1927"/>
      <c r="H21" s="1926" t="s">
        <v>669</v>
      </c>
      <c r="I21" s="1926"/>
      <c r="J21" s="1926"/>
      <c r="K21" s="1927"/>
    </row>
    <row r="22" spans="1:12" ht="25.5" customHeight="1">
      <c r="A22" s="1735"/>
      <c r="B22" s="1741" t="s">
        <v>668</v>
      </c>
      <c r="C22" s="1726"/>
      <c r="D22" s="1782" t="s">
        <v>381</v>
      </c>
      <c r="E22" s="1785"/>
      <c r="F22" s="142" t="s">
        <v>668</v>
      </c>
      <c r="G22" s="446" t="s">
        <v>381</v>
      </c>
      <c r="H22" s="1713" t="s">
        <v>668</v>
      </c>
      <c r="I22" s="1714"/>
      <c r="J22" s="1782" t="s">
        <v>381</v>
      </c>
      <c r="K22" s="1783"/>
    </row>
    <row r="23" spans="1:12" ht="15.95" customHeight="1">
      <c r="A23" s="199" t="s">
        <v>928</v>
      </c>
      <c r="B23" s="1716" t="s">
        <v>929</v>
      </c>
      <c r="C23" s="1797"/>
      <c r="D23" s="1716" t="s">
        <v>930</v>
      </c>
      <c r="E23" s="1717"/>
      <c r="F23" s="199" t="s">
        <v>931</v>
      </c>
      <c r="G23" s="120" t="s">
        <v>932</v>
      </c>
      <c r="H23" s="1717" t="s">
        <v>933</v>
      </c>
      <c r="I23" s="1797"/>
      <c r="J23" s="1716" t="s">
        <v>934</v>
      </c>
      <c r="K23" s="1797"/>
    </row>
    <row r="24" spans="1:12" ht="18" customHeight="1">
      <c r="A24" s="673" t="s">
        <v>1317</v>
      </c>
      <c r="B24" s="2023">
        <v>103.77</v>
      </c>
      <c r="C24" s="2024"/>
      <c r="D24" s="2023">
        <v>105.58</v>
      </c>
      <c r="E24" s="2024"/>
      <c r="F24" s="549">
        <v>213.79</v>
      </c>
      <c r="G24" s="549">
        <v>222.43</v>
      </c>
      <c r="H24" s="2023">
        <v>206.02</v>
      </c>
      <c r="I24" s="2024"/>
      <c r="J24" s="2023">
        <v>210.67</v>
      </c>
      <c r="K24" s="2024"/>
      <c r="L24" s="7"/>
    </row>
    <row r="25" spans="1:12" ht="18" customHeight="1">
      <c r="A25" s="673" t="s">
        <v>221</v>
      </c>
      <c r="B25" s="2020">
        <v>100.69</v>
      </c>
      <c r="C25" s="2021"/>
      <c r="D25" s="2020">
        <v>102.78</v>
      </c>
      <c r="E25" s="2021"/>
      <c r="F25" s="279">
        <v>227.46</v>
      </c>
      <c r="G25" s="279">
        <v>245.57</v>
      </c>
      <c r="H25" s="2020">
        <v>225.9</v>
      </c>
      <c r="I25" s="2021"/>
      <c r="J25" s="2020">
        <v>238.93</v>
      </c>
      <c r="K25" s="2021"/>
      <c r="L25" s="321"/>
    </row>
    <row r="26" spans="1:12" ht="18" customHeight="1">
      <c r="A26" s="673" t="s">
        <v>1301</v>
      </c>
      <c r="B26" s="2020">
        <v>105.17</v>
      </c>
      <c r="C26" s="2021"/>
      <c r="D26" s="2020">
        <v>108.83</v>
      </c>
      <c r="E26" s="2021"/>
      <c r="F26" s="279">
        <v>239.97</v>
      </c>
      <c r="G26" s="279">
        <v>257.20999999999998</v>
      </c>
      <c r="H26" s="2020">
        <v>228.17</v>
      </c>
      <c r="I26" s="2021"/>
      <c r="J26" s="2020">
        <v>236.34</v>
      </c>
      <c r="K26" s="2021"/>
    </row>
    <row r="27" spans="1:12" ht="18" customHeight="1">
      <c r="A27" s="673" t="s">
        <v>621</v>
      </c>
      <c r="B27" s="2020">
        <v>102.58</v>
      </c>
      <c r="C27" s="2021"/>
      <c r="D27" s="2020">
        <v>107.21</v>
      </c>
      <c r="E27" s="2021"/>
      <c r="F27" s="279">
        <v>240.89</v>
      </c>
      <c r="G27" s="279">
        <v>251.66</v>
      </c>
      <c r="H27" s="2020">
        <v>234.83</v>
      </c>
      <c r="I27" s="2021"/>
      <c r="J27" s="2020">
        <v>234.74</v>
      </c>
      <c r="K27" s="2021"/>
    </row>
    <row r="28" spans="1:12" ht="18" customHeight="1">
      <c r="A28" s="674" t="s">
        <v>206</v>
      </c>
      <c r="B28" s="2017">
        <v>106.77</v>
      </c>
      <c r="C28" s="2018"/>
      <c r="D28" s="2017">
        <v>109.73</v>
      </c>
      <c r="E28" s="2017"/>
      <c r="F28" s="538">
        <v>263.44</v>
      </c>
      <c r="G28" s="259">
        <v>272</v>
      </c>
      <c r="H28" s="2017">
        <v>246.74</v>
      </c>
      <c r="I28" s="2018"/>
      <c r="J28" s="2022">
        <v>247.88</v>
      </c>
      <c r="K28" s="2018"/>
    </row>
    <row r="29" spans="1:12">
      <c r="E29" s="98"/>
      <c r="F29" s="98"/>
      <c r="K29" s="1008" t="s">
        <v>763</v>
      </c>
    </row>
  </sheetData>
  <mergeCells count="43">
    <mergeCell ref="H4:I4"/>
    <mergeCell ref="D22:E22"/>
    <mergeCell ref="J23:K23"/>
    <mergeCell ref="A1:K1"/>
    <mergeCell ref="F21:G21"/>
    <mergeCell ref="F4:G4"/>
    <mergeCell ref="D4:E4"/>
    <mergeCell ref="A19:K19"/>
    <mergeCell ref="A4:A5"/>
    <mergeCell ref="B4:C4"/>
    <mergeCell ref="A21:A22"/>
    <mergeCell ref="J4:K4"/>
    <mergeCell ref="A18:K18"/>
    <mergeCell ref="A2:K2"/>
    <mergeCell ref="H21:K21"/>
    <mergeCell ref="H22:I22"/>
    <mergeCell ref="D23:E23"/>
    <mergeCell ref="H23:I23"/>
    <mergeCell ref="J22:K22"/>
    <mergeCell ref="B22:C22"/>
    <mergeCell ref="B21:E21"/>
    <mergeCell ref="D24:E24"/>
    <mergeCell ref="H24:I24"/>
    <mergeCell ref="J24:K24"/>
    <mergeCell ref="B27:C27"/>
    <mergeCell ref="D27:E27"/>
    <mergeCell ref="H27:I27"/>
    <mergeCell ref="H28:I28"/>
    <mergeCell ref="A20:K20"/>
    <mergeCell ref="J27:K27"/>
    <mergeCell ref="B26:C26"/>
    <mergeCell ref="D26:E26"/>
    <mergeCell ref="H26:I26"/>
    <mergeCell ref="J26:K26"/>
    <mergeCell ref="J28:K28"/>
    <mergeCell ref="B28:C28"/>
    <mergeCell ref="B23:C23"/>
    <mergeCell ref="D28:E28"/>
    <mergeCell ref="B25:C25"/>
    <mergeCell ref="D25:E25"/>
    <mergeCell ref="H25:I25"/>
    <mergeCell ref="J25:K25"/>
    <mergeCell ref="B24:C24"/>
  </mergeCells>
  <phoneticPr fontId="0" type="noConversion"/>
  <conditionalFormatting sqref="B4 D4 J4 F4 H4">
    <cfRule type="cellIs" dxfId="17" priority="1" stopIfTrue="1" operator="equal">
      <formula>".."</formula>
    </cfRule>
  </conditionalFormatting>
  <printOptions horizontalCentered="1"/>
  <pageMargins left="0.1" right="0.1" top="0.65" bottom="0.1" header="0.5" footer="0.1"/>
  <pageSetup paperSize="9" orientation="landscape" blackAndWhite="1" r:id="rId1"/>
  <headerFooter alignWithMargins="0"/>
</worksheet>
</file>

<file path=xl/worksheets/sheet47.xml><?xml version="1.0" encoding="utf-8"?>
<worksheet xmlns="http://schemas.openxmlformats.org/spreadsheetml/2006/main" xmlns:r="http://schemas.openxmlformats.org/officeDocument/2006/relationships">
  <dimension ref="A1:O31"/>
  <sheetViews>
    <sheetView topLeftCell="A10" workbookViewId="0">
      <selection activeCell="J11" sqref="J11"/>
    </sheetView>
  </sheetViews>
  <sheetFormatPr defaultRowHeight="12.75"/>
  <cols>
    <col min="1" max="1" width="3.42578125" customWidth="1"/>
    <col min="2" max="2" width="15" customWidth="1"/>
    <col min="3" max="12" width="10.7109375" customWidth="1"/>
  </cols>
  <sheetData>
    <row r="1" spans="1:12" ht="12.75" customHeight="1">
      <c r="A1" s="1948" t="s">
        <v>1321</v>
      </c>
      <c r="B1" s="1948"/>
      <c r="C1" s="1948"/>
      <c r="D1" s="1948"/>
      <c r="E1" s="1948"/>
      <c r="F1" s="1948"/>
      <c r="G1" s="1948"/>
      <c r="H1" s="1948"/>
      <c r="I1" s="1948"/>
      <c r="J1" s="1948"/>
      <c r="K1" s="1948"/>
      <c r="L1" s="1948"/>
    </row>
    <row r="2" spans="1:12" ht="19.5" customHeight="1">
      <c r="A2" s="1975" t="str">
        <f>CONCATENATE("Area and Production of Fruits and Vegetables in the district of ",District!A1)</f>
        <v>Area and Production of Fruits and Vegetables in the district of South 24-Parganas</v>
      </c>
      <c r="B2" s="1975"/>
      <c r="C2" s="1975"/>
      <c r="D2" s="1975"/>
      <c r="E2" s="1975"/>
      <c r="F2" s="1975"/>
      <c r="G2" s="1975"/>
      <c r="H2" s="1975"/>
      <c r="I2" s="1975"/>
      <c r="J2" s="1975"/>
      <c r="K2" s="1975"/>
      <c r="L2" s="1975"/>
    </row>
    <row r="3" spans="1:12" ht="14.25" customHeight="1">
      <c r="A3" s="2025" t="s">
        <v>42</v>
      </c>
      <c r="B3" s="2026"/>
      <c r="C3" s="1926" t="s">
        <v>1465</v>
      </c>
      <c r="D3" s="1926"/>
      <c r="E3" s="1926"/>
      <c r="F3" s="1926"/>
      <c r="G3" s="1927"/>
      <c r="H3" s="1926" t="s">
        <v>1495</v>
      </c>
      <c r="I3" s="1926"/>
      <c r="J3" s="1926"/>
      <c r="K3" s="1926"/>
      <c r="L3" s="1927"/>
    </row>
    <row r="4" spans="1:12" ht="14.25" customHeight="1">
      <c r="A4" s="2027"/>
      <c r="B4" s="2028"/>
      <c r="C4" s="665" t="s">
        <v>1317</v>
      </c>
      <c r="D4" s="665" t="s">
        <v>221</v>
      </c>
      <c r="E4" s="665" t="s">
        <v>1301</v>
      </c>
      <c r="F4" s="665" t="s">
        <v>621</v>
      </c>
      <c r="G4" s="665" t="s">
        <v>206</v>
      </c>
      <c r="H4" s="665" t="s">
        <v>1317</v>
      </c>
      <c r="I4" s="665" t="s">
        <v>221</v>
      </c>
      <c r="J4" s="665" t="s">
        <v>1301</v>
      </c>
      <c r="K4" s="665" t="s">
        <v>621</v>
      </c>
      <c r="L4" s="665" t="s">
        <v>206</v>
      </c>
    </row>
    <row r="5" spans="1:12" ht="14.25" customHeight="1">
      <c r="A5" s="1716" t="s">
        <v>928</v>
      </c>
      <c r="B5" s="2002"/>
      <c r="C5" s="118" t="s">
        <v>929</v>
      </c>
      <c r="D5" s="199" t="s">
        <v>930</v>
      </c>
      <c r="E5" s="119" t="s">
        <v>931</v>
      </c>
      <c r="F5" s="199" t="s">
        <v>932</v>
      </c>
      <c r="G5" s="120" t="s">
        <v>933</v>
      </c>
      <c r="H5" s="119" t="s">
        <v>934</v>
      </c>
      <c r="I5" s="199" t="s">
        <v>959</v>
      </c>
      <c r="J5" s="119" t="s">
        <v>960</v>
      </c>
      <c r="K5" s="199" t="s">
        <v>961</v>
      </c>
      <c r="L5" s="120" t="s">
        <v>962</v>
      </c>
    </row>
    <row r="6" spans="1:12" ht="14.25" customHeight="1">
      <c r="A6" s="274" t="s">
        <v>1086</v>
      </c>
      <c r="B6" s="1331" t="s">
        <v>1409</v>
      </c>
      <c r="C6" s="79"/>
      <c r="D6" s="85"/>
      <c r="E6" s="79"/>
      <c r="F6" s="85"/>
      <c r="G6" s="89"/>
      <c r="H6" s="79"/>
      <c r="I6" s="85"/>
      <c r="J6" s="79"/>
      <c r="K6" s="85"/>
      <c r="L6" s="89"/>
    </row>
    <row r="7" spans="1:12" ht="16.5" customHeight="1">
      <c r="A7" s="269"/>
      <c r="B7" s="1351" t="s">
        <v>1466</v>
      </c>
      <c r="C7" s="262">
        <v>1.26</v>
      </c>
      <c r="D7" s="262">
        <v>1.26</v>
      </c>
      <c r="E7" s="262">
        <v>1.39</v>
      </c>
      <c r="F7" s="262">
        <v>1.4</v>
      </c>
      <c r="G7" s="262">
        <v>1.5</v>
      </c>
      <c r="H7" s="321">
        <v>8.93</v>
      </c>
      <c r="I7" s="279">
        <v>8.93</v>
      </c>
      <c r="J7" s="249">
        <v>9.82</v>
      </c>
      <c r="K7" s="249">
        <v>9.9</v>
      </c>
      <c r="L7" s="249">
        <v>6.15</v>
      </c>
    </row>
    <row r="8" spans="1:12" ht="16.5" customHeight="1">
      <c r="A8" s="269"/>
      <c r="B8" s="1351" t="s">
        <v>1467</v>
      </c>
      <c r="C8" s="262">
        <v>2.3199999999999998</v>
      </c>
      <c r="D8" s="262">
        <v>2.4700000000000002</v>
      </c>
      <c r="E8" s="262">
        <v>2.72</v>
      </c>
      <c r="F8" s="262">
        <v>2.72</v>
      </c>
      <c r="G8" s="262">
        <v>2.9</v>
      </c>
      <c r="H8" s="321">
        <v>45.58</v>
      </c>
      <c r="I8" s="279">
        <v>47.48</v>
      </c>
      <c r="J8" s="249">
        <v>52.23</v>
      </c>
      <c r="K8" s="249">
        <v>52.3</v>
      </c>
      <c r="L8" s="249">
        <v>58.46</v>
      </c>
    </row>
    <row r="9" spans="1:12" ht="16.5" customHeight="1">
      <c r="A9" s="269"/>
      <c r="B9" s="1351" t="s">
        <v>1468</v>
      </c>
      <c r="C9" s="262">
        <v>0.41</v>
      </c>
      <c r="D9" s="262">
        <v>0.41</v>
      </c>
      <c r="E9" s="262">
        <v>0.41</v>
      </c>
      <c r="F9" s="262">
        <v>0.4</v>
      </c>
      <c r="G9" s="262">
        <v>0.4</v>
      </c>
      <c r="H9" s="321">
        <v>10.54</v>
      </c>
      <c r="I9" s="279">
        <v>10.54</v>
      </c>
      <c r="J9" s="249">
        <v>10.91</v>
      </c>
      <c r="K9" s="249">
        <v>9.77</v>
      </c>
      <c r="L9" s="249">
        <v>9.8000000000000007</v>
      </c>
    </row>
    <row r="10" spans="1:12" ht="16.5" customHeight="1">
      <c r="A10" s="269"/>
      <c r="B10" s="1351" t="s">
        <v>1469</v>
      </c>
      <c r="C10" s="262">
        <v>0.85</v>
      </c>
      <c r="D10" s="262">
        <v>0.86</v>
      </c>
      <c r="E10" s="262">
        <v>0.94</v>
      </c>
      <c r="F10" s="262">
        <v>0.95</v>
      </c>
      <c r="G10" s="262">
        <v>1.02</v>
      </c>
      <c r="H10" s="321">
        <v>28.02</v>
      </c>
      <c r="I10" s="279">
        <v>28.22</v>
      </c>
      <c r="J10" s="249">
        <v>31.02</v>
      </c>
      <c r="K10" s="249">
        <v>31.1</v>
      </c>
      <c r="L10" s="249">
        <v>32.15</v>
      </c>
    </row>
    <row r="11" spans="1:12" ht="16.5" customHeight="1">
      <c r="A11" s="269"/>
      <c r="B11" s="1351" t="s">
        <v>1470</v>
      </c>
      <c r="C11" s="262">
        <v>2.1800000000000002</v>
      </c>
      <c r="D11" s="262">
        <v>2.1800000000000002</v>
      </c>
      <c r="E11" s="262">
        <v>2.36</v>
      </c>
      <c r="F11" s="262">
        <v>2.39</v>
      </c>
      <c r="G11" s="262">
        <v>2.41</v>
      </c>
      <c r="H11" s="321">
        <v>35.630000000000003</v>
      </c>
      <c r="I11" s="279">
        <v>35.630000000000003</v>
      </c>
      <c r="J11" s="249">
        <v>35.799999999999997</v>
      </c>
      <c r="K11" s="249">
        <v>36.299999999999997</v>
      </c>
      <c r="L11" s="249">
        <v>36.799999999999997</v>
      </c>
    </row>
    <row r="12" spans="1:12" ht="16.5" customHeight="1">
      <c r="A12" s="269"/>
      <c r="B12" s="1351" t="s">
        <v>1471</v>
      </c>
      <c r="C12" s="262">
        <v>0.18</v>
      </c>
      <c r="D12" s="262">
        <v>0.18</v>
      </c>
      <c r="E12" s="262">
        <v>0.2</v>
      </c>
      <c r="F12" s="262">
        <v>0.2</v>
      </c>
      <c r="G12" s="262">
        <v>0.2</v>
      </c>
      <c r="H12" s="321">
        <v>6.31</v>
      </c>
      <c r="I12" s="279">
        <v>6.31</v>
      </c>
      <c r="J12" s="249">
        <v>6.34</v>
      </c>
      <c r="K12" s="249">
        <v>3.6</v>
      </c>
      <c r="L12" s="249">
        <v>3.65</v>
      </c>
    </row>
    <row r="13" spans="1:12" ht="16.5" customHeight="1">
      <c r="A13" s="269"/>
      <c r="B13" s="1351" t="s">
        <v>1472</v>
      </c>
      <c r="C13" s="262">
        <v>0.51</v>
      </c>
      <c r="D13" s="262">
        <v>0.51</v>
      </c>
      <c r="E13" s="262">
        <v>0.54</v>
      </c>
      <c r="F13" s="262">
        <v>0.59</v>
      </c>
      <c r="G13" s="262">
        <v>0.61</v>
      </c>
      <c r="H13" s="321">
        <v>5.55</v>
      </c>
      <c r="I13" s="279">
        <v>5.55</v>
      </c>
      <c r="J13" s="249">
        <v>5.94</v>
      </c>
      <c r="K13" s="249">
        <v>6.19</v>
      </c>
      <c r="L13" s="249">
        <v>6.13</v>
      </c>
    </row>
    <row r="14" spans="1:12" ht="16.5" customHeight="1">
      <c r="A14" s="269"/>
      <c r="B14" s="1351" t="s">
        <v>1473</v>
      </c>
      <c r="C14" s="262" t="s">
        <v>1229</v>
      </c>
      <c r="D14" s="249" t="s">
        <v>1229</v>
      </c>
      <c r="E14" s="279" t="s">
        <v>1229</v>
      </c>
      <c r="F14" s="279" t="s">
        <v>1229</v>
      </c>
      <c r="G14" s="279" t="s">
        <v>1229</v>
      </c>
      <c r="H14" s="321" t="s">
        <v>1229</v>
      </c>
      <c r="I14" s="1130" t="s">
        <v>1229</v>
      </c>
      <c r="J14" s="1232" t="s">
        <v>1229</v>
      </c>
      <c r="K14" s="1232" t="s">
        <v>1229</v>
      </c>
      <c r="L14" s="1232" t="s">
        <v>1229</v>
      </c>
    </row>
    <row r="15" spans="1:12" ht="16.5" customHeight="1">
      <c r="A15" s="261"/>
      <c r="B15" s="1351" t="s">
        <v>1474</v>
      </c>
      <c r="C15" s="262">
        <v>0.38</v>
      </c>
      <c r="D15" s="1087">
        <v>0.38</v>
      </c>
      <c r="E15" s="1087">
        <v>0.4</v>
      </c>
      <c r="F15" s="1087">
        <v>0.41</v>
      </c>
      <c r="G15" s="1087">
        <v>0.43</v>
      </c>
      <c r="H15" s="321">
        <v>2.75</v>
      </c>
      <c r="I15" s="279">
        <v>2.95</v>
      </c>
      <c r="J15" s="249">
        <v>3.55</v>
      </c>
      <c r="K15" s="249">
        <v>3.6</v>
      </c>
      <c r="L15" s="249">
        <v>3.85</v>
      </c>
    </row>
    <row r="16" spans="1:12" ht="16.5" customHeight="1">
      <c r="A16" s="269"/>
      <c r="B16" s="1351" t="s">
        <v>1478</v>
      </c>
      <c r="C16" s="262">
        <v>1.24</v>
      </c>
      <c r="D16" s="262">
        <v>1.24</v>
      </c>
      <c r="E16" s="262">
        <v>1.32</v>
      </c>
      <c r="F16" s="262">
        <v>1.33</v>
      </c>
      <c r="G16" s="262">
        <v>1.37</v>
      </c>
      <c r="H16" s="321">
        <v>12.84</v>
      </c>
      <c r="I16" s="279">
        <v>12.94</v>
      </c>
      <c r="J16" s="249">
        <v>13.04</v>
      </c>
      <c r="K16" s="249">
        <v>13.18</v>
      </c>
      <c r="L16" s="249">
        <v>13.38</v>
      </c>
    </row>
    <row r="17" spans="1:15" ht="16.5" customHeight="1">
      <c r="A17" s="269"/>
      <c r="B17" s="1352" t="s">
        <v>1111</v>
      </c>
      <c r="C17" s="262">
        <v>0.5</v>
      </c>
      <c r="D17" s="262">
        <v>0.5</v>
      </c>
      <c r="E17" s="262">
        <v>0.52</v>
      </c>
      <c r="F17" s="262">
        <v>0.51</v>
      </c>
      <c r="G17" s="262">
        <v>0.51</v>
      </c>
      <c r="H17" s="321">
        <v>3.11</v>
      </c>
      <c r="I17" s="279">
        <v>3.45</v>
      </c>
      <c r="J17" s="249">
        <v>3.86</v>
      </c>
      <c r="K17" s="249">
        <v>3.89</v>
      </c>
      <c r="L17" s="249">
        <v>4.1500000000000004</v>
      </c>
    </row>
    <row r="18" spans="1:15" ht="14.25" customHeight="1">
      <c r="A18" s="271"/>
      <c r="B18" s="1384" t="s">
        <v>958</v>
      </c>
      <c r="C18" s="273">
        <f t="shared" ref="C18:L18" si="0">SUM(C7:C17)</f>
        <v>9.83</v>
      </c>
      <c r="D18" s="273">
        <f t="shared" si="0"/>
        <v>9.990000000000002</v>
      </c>
      <c r="E18" s="273">
        <f t="shared" si="0"/>
        <v>10.799999999999999</v>
      </c>
      <c r="F18" s="273">
        <f t="shared" si="0"/>
        <v>10.9</v>
      </c>
      <c r="G18" s="273">
        <f t="shared" si="0"/>
        <v>11.35</v>
      </c>
      <c r="H18" s="272">
        <f t="shared" si="0"/>
        <v>159.26000000000002</v>
      </c>
      <c r="I18" s="505">
        <f t="shared" si="0"/>
        <v>161.99999999999997</v>
      </c>
      <c r="J18" s="505">
        <f t="shared" si="0"/>
        <v>172.51</v>
      </c>
      <c r="K18" s="505">
        <f t="shared" si="0"/>
        <v>169.82999999999998</v>
      </c>
      <c r="L18" s="505">
        <f t="shared" si="0"/>
        <v>174.52</v>
      </c>
    </row>
    <row r="19" spans="1:15" ht="14.25" customHeight="1">
      <c r="A19" s="274" t="s">
        <v>1479</v>
      </c>
      <c r="B19" s="1331" t="s">
        <v>1410</v>
      </c>
      <c r="C19" s="503"/>
      <c r="D19" s="262"/>
      <c r="E19" s="503"/>
      <c r="F19" s="262"/>
      <c r="G19" s="262"/>
      <c r="H19" s="270"/>
      <c r="I19" s="503"/>
      <c r="J19" s="270"/>
      <c r="K19" s="503"/>
      <c r="L19" s="262"/>
    </row>
    <row r="20" spans="1:15" ht="16.5" customHeight="1">
      <c r="A20" s="269"/>
      <c r="B20" s="1353" t="s">
        <v>1480</v>
      </c>
      <c r="C20" s="262">
        <v>4.45</v>
      </c>
      <c r="D20" s="262">
        <v>4.5</v>
      </c>
      <c r="E20" s="262">
        <v>4.76</v>
      </c>
      <c r="F20" s="262">
        <v>4.8</v>
      </c>
      <c r="G20" s="262">
        <v>4.8499999999999996</v>
      </c>
      <c r="H20" s="321">
        <v>76.2</v>
      </c>
      <c r="I20" s="279">
        <v>77.19</v>
      </c>
      <c r="J20" s="249">
        <v>84.96</v>
      </c>
      <c r="K20" s="249">
        <v>86</v>
      </c>
      <c r="L20" s="249">
        <v>90.06</v>
      </c>
    </row>
    <row r="21" spans="1:15" ht="16.5" customHeight="1">
      <c r="A21" s="269"/>
      <c r="B21" s="1353" t="s">
        <v>1481</v>
      </c>
      <c r="C21" s="262">
        <v>5.6</v>
      </c>
      <c r="D21" s="262">
        <v>5.68</v>
      </c>
      <c r="E21" s="262">
        <v>6.36</v>
      </c>
      <c r="F21" s="262">
        <v>6.4</v>
      </c>
      <c r="G21" s="262">
        <v>6.49</v>
      </c>
      <c r="H21" s="321">
        <v>178.35</v>
      </c>
      <c r="I21" s="279">
        <v>180.85</v>
      </c>
      <c r="J21" s="249">
        <v>202.54</v>
      </c>
      <c r="K21" s="249">
        <v>203.95</v>
      </c>
      <c r="L21" s="249">
        <v>205.65</v>
      </c>
    </row>
    <row r="22" spans="1:15" ht="16.5" customHeight="1">
      <c r="A22" s="269"/>
      <c r="B22" s="1353" t="s">
        <v>1484</v>
      </c>
      <c r="C22" s="262">
        <v>4.71</v>
      </c>
      <c r="D22" s="262">
        <v>4.7699999999999996</v>
      </c>
      <c r="E22" s="262">
        <v>5.18</v>
      </c>
      <c r="F22" s="262">
        <v>5.3</v>
      </c>
      <c r="G22" s="262">
        <v>5.55</v>
      </c>
      <c r="H22" s="321">
        <v>94.2</v>
      </c>
      <c r="I22" s="279">
        <v>95.44</v>
      </c>
      <c r="J22" s="249">
        <v>105.89</v>
      </c>
      <c r="K22" s="249">
        <v>108.4</v>
      </c>
      <c r="L22" s="249">
        <v>115.42</v>
      </c>
    </row>
    <row r="23" spans="1:15" ht="16.5" customHeight="1">
      <c r="A23" s="261"/>
      <c r="B23" s="1353" t="s">
        <v>1485</v>
      </c>
      <c r="C23" s="262">
        <v>3.43</v>
      </c>
      <c r="D23" s="262">
        <v>3.49</v>
      </c>
      <c r="E23" s="262">
        <v>3.57</v>
      </c>
      <c r="F23" s="262">
        <v>3.58</v>
      </c>
      <c r="G23" s="262">
        <v>3.6</v>
      </c>
      <c r="H23" s="321">
        <v>7.25</v>
      </c>
      <c r="I23" s="279">
        <v>7.47</v>
      </c>
      <c r="J23" s="249">
        <v>10.93</v>
      </c>
      <c r="K23" s="249">
        <v>11.2</v>
      </c>
      <c r="L23" s="249">
        <v>13.37</v>
      </c>
    </row>
    <row r="24" spans="1:15" ht="16.5" customHeight="1">
      <c r="A24" s="275"/>
      <c r="B24" s="1353" t="s">
        <v>1486</v>
      </c>
      <c r="C24" s="262">
        <v>9.5500000000000007</v>
      </c>
      <c r="D24" s="262">
        <v>7.73</v>
      </c>
      <c r="E24" s="262">
        <v>9.8699999999999992</v>
      </c>
      <c r="F24" s="262">
        <v>9.99</v>
      </c>
      <c r="G24" s="262">
        <v>10.29</v>
      </c>
      <c r="H24" s="321">
        <v>165.16</v>
      </c>
      <c r="I24" s="279">
        <v>144.55000000000001</v>
      </c>
      <c r="J24" s="249">
        <v>177.03</v>
      </c>
      <c r="K24" s="249">
        <v>179.5</v>
      </c>
      <c r="L24" s="249">
        <v>189.92</v>
      </c>
    </row>
    <row r="25" spans="1:15" ht="16.5" customHeight="1">
      <c r="A25" s="269"/>
      <c r="B25" s="1353" t="s">
        <v>1487</v>
      </c>
      <c r="C25" s="262">
        <v>0.71</v>
      </c>
      <c r="D25" s="262">
        <v>0.72</v>
      </c>
      <c r="E25" s="262">
        <v>0.77</v>
      </c>
      <c r="F25" s="262">
        <v>0.77</v>
      </c>
      <c r="G25" s="262">
        <v>0.8</v>
      </c>
      <c r="H25" s="321">
        <v>8.9600000000000009</v>
      </c>
      <c r="I25" s="279">
        <v>9.2100000000000009</v>
      </c>
      <c r="J25" s="249">
        <v>9.85</v>
      </c>
      <c r="K25" s="249">
        <v>9.86</v>
      </c>
      <c r="L25" s="249">
        <v>10.119999999999999</v>
      </c>
    </row>
    <row r="26" spans="1:15" ht="16.5" customHeight="1">
      <c r="A26" s="269"/>
      <c r="B26" s="1353" t="s">
        <v>1488</v>
      </c>
      <c r="C26" s="262">
        <v>12.45</v>
      </c>
      <c r="D26" s="262">
        <v>12.63</v>
      </c>
      <c r="E26" s="262">
        <v>13</v>
      </c>
      <c r="F26" s="262">
        <v>13.06</v>
      </c>
      <c r="G26" s="262">
        <v>13.23</v>
      </c>
      <c r="H26" s="321">
        <v>152.52000000000001</v>
      </c>
      <c r="I26" s="279">
        <v>158.4</v>
      </c>
      <c r="J26" s="249">
        <v>171.19</v>
      </c>
      <c r="K26" s="249">
        <v>180.3</v>
      </c>
      <c r="L26" s="249">
        <v>184.92</v>
      </c>
    </row>
    <row r="27" spans="1:15" ht="16.5" customHeight="1">
      <c r="A27" s="269"/>
      <c r="B27" s="1353" t="s">
        <v>1490</v>
      </c>
      <c r="C27" s="262">
        <v>7.1</v>
      </c>
      <c r="D27" s="262">
        <v>7.19</v>
      </c>
      <c r="E27" s="262">
        <v>7.38</v>
      </c>
      <c r="F27" s="262">
        <v>7.4</v>
      </c>
      <c r="G27" s="262">
        <v>7.52</v>
      </c>
      <c r="H27" s="321">
        <v>81.040000000000006</v>
      </c>
      <c r="I27" s="279">
        <v>83.47</v>
      </c>
      <c r="J27" s="249">
        <v>88.01</v>
      </c>
      <c r="K27" s="249">
        <v>89.08</v>
      </c>
      <c r="L27" s="249">
        <v>92.21</v>
      </c>
      <c r="O27" s="18"/>
    </row>
    <row r="28" spans="1:15" ht="16.5" customHeight="1">
      <c r="A28" s="261"/>
      <c r="B28" s="1353" t="s">
        <v>1491</v>
      </c>
      <c r="C28" s="262">
        <v>3.7</v>
      </c>
      <c r="D28" s="262">
        <v>1.1100000000000001</v>
      </c>
      <c r="E28" s="262">
        <v>3.84</v>
      </c>
      <c r="F28" s="262">
        <v>3.84</v>
      </c>
      <c r="G28" s="262">
        <v>3.88</v>
      </c>
      <c r="H28" s="321">
        <v>42.8</v>
      </c>
      <c r="I28" s="279">
        <v>9.01</v>
      </c>
      <c r="J28" s="249">
        <v>45.91</v>
      </c>
      <c r="K28" s="249">
        <v>46.33</v>
      </c>
      <c r="L28" s="249">
        <v>49.42</v>
      </c>
    </row>
    <row r="29" spans="1:15" ht="16.5" customHeight="1">
      <c r="A29" s="275"/>
      <c r="B29" s="1354" t="s">
        <v>1111</v>
      </c>
      <c r="C29" s="262">
        <v>19.16</v>
      </c>
      <c r="D29" s="262">
        <v>29.71</v>
      </c>
      <c r="E29" s="262">
        <v>19.82</v>
      </c>
      <c r="F29" s="262">
        <v>20.16</v>
      </c>
      <c r="G29" s="262">
        <v>20.99</v>
      </c>
      <c r="H29" s="321">
        <v>142.91</v>
      </c>
      <c r="I29" s="279">
        <v>207.16</v>
      </c>
      <c r="J29" s="249">
        <v>157.22999999999999</v>
      </c>
      <c r="K29" s="249">
        <v>162.06</v>
      </c>
      <c r="L29" s="249">
        <v>174.5</v>
      </c>
    </row>
    <row r="30" spans="1:15" ht="14.25" customHeight="1">
      <c r="A30" s="276"/>
      <c r="B30" s="278" t="s">
        <v>958</v>
      </c>
      <c r="C30" s="506">
        <f t="shared" ref="C30:L30" si="1">SUM(C20:C29)</f>
        <v>70.860000000000014</v>
      </c>
      <c r="D30" s="506">
        <f t="shared" si="1"/>
        <v>77.53</v>
      </c>
      <c r="E30" s="506">
        <f t="shared" si="1"/>
        <v>74.550000000000011</v>
      </c>
      <c r="F30" s="506">
        <f t="shared" si="1"/>
        <v>75.3</v>
      </c>
      <c r="G30" s="506">
        <f t="shared" si="1"/>
        <v>77.2</v>
      </c>
      <c r="H30" s="277">
        <f t="shared" si="1"/>
        <v>949.38999999999987</v>
      </c>
      <c r="I30" s="506">
        <f t="shared" si="1"/>
        <v>972.75</v>
      </c>
      <c r="J30" s="506">
        <f t="shared" si="1"/>
        <v>1053.54</v>
      </c>
      <c r="K30" s="506">
        <f t="shared" si="1"/>
        <v>1076.68</v>
      </c>
      <c r="L30" s="506">
        <f t="shared" si="1"/>
        <v>1125.5900000000001</v>
      </c>
    </row>
    <row r="31" spans="1:15" ht="14.25" customHeight="1">
      <c r="D31" s="9"/>
      <c r="F31" s="1133"/>
      <c r="G31" s="1133"/>
      <c r="H31" s="1133"/>
      <c r="I31" s="1133"/>
      <c r="J31" s="1133"/>
      <c r="K31" s="1133"/>
      <c r="L31" s="1133" t="s">
        <v>92</v>
      </c>
    </row>
  </sheetData>
  <mergeCells count="6">
    <mergeCell ref="A1:L1"/>
    <mergeCell ref="H3:L3"/>
    <mergeCell ref="A2:L2"/>
    <mergeCell ref="A5:B5"/>
    <mergeCell ref="A3:B4"/>
    <mergeCell ref="C3:G3"/>
  </mergeCells>
  <phoneticPr fontId="0" type="noConversion"/>
  <conditionalFormatting sqref="C4:L4">
    <cfRule type="cellIs" dxfId="16" priority="1" stopIfTrue="1" operator="equal">
      <formula>".."</formula>
    </cfRule>
  </conditionalFormatting>
  <printOptions horizontalCentered="1"/>
  <pageMargins left="0.1" right="0.1" top="0.71" bottom="0.1" header="0.5" footer="0.1"/>
  <pageSetup paperSize="9" orientation="landscape" blackAndWhite="1" r:id="rId1"/>
  <headerFooter alignWithMargins="0"/>
</worksheet>
</file>

<file path=xl/worksheets/sheet48.xml><?xml version="1.0" encoding="utf-8"?>
<worksheet xmlns="http://schemas.openxmlformats.org/spreadsheetml/2006/main" xmlns:r="http://schemas.openxmlformats.org/officeDocument/2006/relationships">
  <dimension ref="A1:M15"/>
  <sheetViews>
    <sheetView topLeftCell="A10" workbookViewId="0">
      <selection activeCell="J11" sqref="J11"/>
    </sheetView>
  </sheetViews>
  <sheetFormatPr defaultRowHeight="12.75"/>
  <cols>
    <col min="1" max="1" width="14.7109375" customWidth="1"/>
    <col min="2" max="2" width="8.85546875" customWidth="1"/>
    <col min="3" max="7" width="9.7109375" customWidth="1"/>
    <col min="8" max="8" width="10" customWidth="1"/>
    <col min="9" max="13" width="9.7109375" customWidth="1"/>
  </cols>
  <sheetData>
    <row r="1" spans="1:13" ht="15" customHeight="1">
      <c r="A1" s="1948" t="s">
        <v>1322</v>
      </c>
      <c r="B1" s="1948"/>
      <c r="C1" s="1948"/>
      <c r="D1" s="1948"/>
      <c r="E1" s="1948"/>
      <c r="F1" s="1948"/>
      <c r="G1" s="1948"/>
      <c r="H1" s="1948"/>
      <c r="I1" s="1948"/>
      <c r="J1" s="1948"/>
      <c r="K1" s="1948"/>
      <c r="L1" s="1948"/>
      <c r="M1" s="1948"/>
    </row>
    <row r="2" spans="1:13" ht="18.75" customHeight="1">
      <c r="A2" s="1975" t="str">
        <f>CONCATENATE("Area and Production of Flowers in the district of ",District!A1)</f>
        <v>Area and Production of Flowers in the district of South 24-Parganas</v>
      </c>
      <c r="B2" s="1975"/>
      <c r="C2" s="1975"/>
      <c r="D2" s="1975"/>
      <c r="E2" s="1975"/>
      <c r="F2" s="1975"/>
      <c r="G2" s="1975"/>
      <c r="H2" s="1975"/>
      <c r="I2" s="1975"/>
      <c r="J2" s="1975"/>
      <c r="K2" s="1975"/>
      <c r="L2" s="1975"/>
      <c r="M2" s="1975"/>
    </row>
    <row r="3" spans="1:13" ht="15.95" customHeight="1">
      <c r="A3" s="1737" t="s">
        <v>764</v>
      </c>
      <c r="B3" s="1926" t="s">
        <v>846</v>
      </c>
      <c r="C3" s="1926"/>
      <c r="D3" s="1926"/>
      <c r="E3" s="1926"/>
      <c r="F3" s="1926"/>
      <c r="G3" s="1927"/>
      <c r="H3" s="40"/>
      <c r="I3" s="1810" t="s">
        <v>1496</v>
      </c>
      <c r="J3" s="1810"/>
      <c r="K3" s="1810"/>
      <c r="L3" s="1810"/>
      <c r="M3" s="1811"/>
    </row>
    <row r="4" spans="1:13" ht="21.75" customHeight="1">
      <c r="A4" s="1738"/>
      <c r="B4" s="569" t="s">
        <v>672</v>
      </c>
      <c r="C4" s="665" t="s">
        <v>1317</v>
      </c>
      <c r="D4" s="665" t="s">
        <v>221</v>
      </c>
      <c r="E4" s="665" t="s">
        <v>1301</v>
      </c>
      <c r="F4" s="665" t="s">
        <v>621</v>
      </c>
      <c r="G4" s="665" t="s">
        <v>206</v>
      </c>
      <c r="H4" s="569" t="s">
        <v>672</v>
      </c>
      <c r="I4" s="665" t="s">
        <v>1317</v>
      </c>
      <c r="J4" s="665" t="s">
        <v>221</v>
      </c>
      <c r="K4" s="665" t="s">
        <v>1301</v>
      </c>
      <c r="L4" s="665" t="s">
        <v>621</v>
      </c>
      <c r="M4" s="665" t="s">
        <v>206</v>
      </c>
    </row>
    <row r="5" spans="1:13" ht="20.25" customHeight="1">
      <c r="A5" s="199" t="s">
        <v>928</v>
      </c>
      <c r="B5" s="199" t="s">
        <v>929</v>
      </c>
      <c r="C5" s="120" t="s">
        <v>930</v>
      </c>
      <c r="D5" s="119" t="s">
        <v>931</v>
      </c>
      <c r="E5" s="199" t="s">
        <v>932</v>
      </c>
      <c r="F5" s="199" t="s">
        <v>933</v>
      </c>
      <c r="G5" s="120" t="s">
        <v>934</v>
      </c>
      <c r="H5" s="199" t="s">
        <v>959</v>
      </c>
      <c r="I5" s="120" t="s">
        <v>960</v>
      </c>
      <c r="J5" s="119" t="s">
        <v>961</v>
      </c>
      <c r="K5" s="123" t="s">
        <v>962</v>
      </c>
      <c r="L5" s="123" t="s">
        <v>1037</v>
      </c>
      <c r="M5" s="122" t="s">
        <v>1038</v>
      </c>
    </row>
    <row r="6" spans="1:13" ht="41.25" customHeight="1">
      <c r="A6" s="339" t="s">
        <v>1497</v>
      </c>
      <c r="B6" s="1122" t="s">
        <v>765</v>
      </c>
      <c r="C6" s="508">
        <v>8.5999999999999993E-2</v>
      </c>
      <c r="D6" s="507">
        <v>8.5999999999999993E-2</v>
      </c>
      <c r="E6" s="877">
        <v>8.7999999999999995E-2</v>
      </c>
      <c r="F6" s="877">
        <v>8.7999999999999995E-2</v>
      </c>
      <c r="G6" s="877">
        <v>9.6000000000000002E-2</v>
      </c>
      <c r="H6" s="1309" t="s">
        <v>683</v>
      </c>
      <c r="I6" s="730">
        <v>0.95</v>
      </c>
      <c r="J6" s="730">
        <v>0.95</v>
      </c>
      <c r="K6" s="730">
        <v>0.97199999999999998</v>
      </c>
      <c r="L6" s="730">
        <v>0.97799999999999998</v>
      </c>
      <c r="M6" s="730">
        <v>0.99</v>
      </c>
    </row>
    <row r="7" spans="1:13" ht="41.25" customHeight="1">
      <c r="A7" s="339" t="s">
        <v>1498</v>
      </c>
      <c r="B7" s="339" t="s">
        <v>850</v>
      </c>
      <c r="C7" s="508">
        <v>0.06</v>
      </c>
      <c r="D7" s="507">
        <v>0.06</v>
      </c>
      <c r="E7" s="508">
        <v>6.0999999999999999E-2</v>
      </c>
      <c r="F7" s="508">
        <v>6.0999999999999999E-2</v>
      </c>
      <c r="G7" s="508">
        <v>6.2E-2</v>
      </c>
      <c r="H7" s="339" t="s">
        <v>850</v>
      </c>
      <c r="I7" s="730">
        <v>0.89800000000000002</v>
      </c>
      <c r="J7" s="730">
        <v>0.89800000000000002</v>
      </c>
      <c r="K7" s="730">
        <v>0.9</v>
      </c>
      <c r="L7" s="730">
        <v>0.91</v>
      </c>
      <c r="M7" s="730">
        <v>0.91500000000000004</v>
      </c>
    </row>
    <row r="8" spans="1:13" ht="41.25" customHeight="1">
      <c r="A8" s="339" t="s">
        <v>1508</v>
      </c>
      <c r="B8" s="339" t="s">
        <v>850</v>
      </c>
      <c r="C8" s="508">
        <v>0.03</v>
      </c>
      <c r="D8" s="507">
        <v>0.03</v>
      </c>
      <c r="E8" s="508">
        <v>3.1E-2</v>
      </c>
      <c r="F8" s="508">
        <v>3.2000000000000001E-2</v>
      </c>
      <c r="G8" s="508">
        <v>0.04</v>
      </c>
      <c r="H8" s="339" t="s">
        <v>850</v>
      </c>
      <c r="I8" s="509">
        <v>0.31</v>
      </c>
      <c r="J8" s="509">
        <v>0.31</v>
      </c>
      <c r="K8" s="509">
        <v>0.32</v>
      </c>
      <c r="L8" s="509">
        <v>0.33</v>
      </c>
      <c r="M8" s="509">
        <v>0.46</v>
      </c>
    </row>
    <row r="9" spans="1:13" ht="41.25" customHeight="1">
      <c r="A9" s="339" t="s">
        <v>1509</v>
      </c>
      <c r="B9" s="339" t="s">
        <v>850</v>
      </c>
      <c r="C9" s="508">
        <v>0.93</v>
      </c>
      <c r="D9" s="507">
        <v>0.93500000000000005</v>
      </c>
      <c r="E9" s="508">
        <v>1.02</v>
      </c>
      <c r="F9" s="508">
        <v>1.03</v>
      </c>
      <c r="G9" s="508">
        <v>1.0369999999999999</v>
      </c>
      <c r="H9" s="339" t="s">
        <v>850</v>
      </c>
      <c r="I9" s="509">
        <v>11.85</v>
      </c>
      <c r="J9" s="509">
        <v>11.95</v>
      </c>
      <c r="K9" s="509">
        <v>13.2</v>
      </c>
      <c r="L9" s="509">
        <v>13.26</v>
      </c>
      <c r="M9" s="509">
        <v>13.4</v>
      </c>
    </row>
    <row r="10" spans="1:13" ht="41.25" customHeight="1">
      <c r="A10" s="339" t="s">
        <v>1510</v>
      </c>
      <c r="B10" s="339" t="s">
        <v>850</v>
      </c>
      <c r="C10" s="508">
        <v>0.51</v>
      </c>
      <c r="D10" s="507">
        <v>0.63500000000000001</v>
      </c>
      <c r="E10" s="508">
        <v>0.71799999999999997</v>
      </c>
      <c r="F10" s="508">
        <v>0.748</v>
      </c>
      <c r="G10" s="508">
        <v>0.82899999999999996</v>
      </c>
      <c r="H10" s="298" t="s">
        <v>558</v>
      </c>
      <c r="I10" s="509">
        <v>4.5</v>
      </c>
      <c r="J10" s="509">
        <v>5.7</v>
      </c>
      <c r="K10" s="509">
        <v>6.5</v>
      </c>
      <c r="L10" s="509">
        <v>6.75</v>
      </c>
      <c r="M10" s="509">
        <v>7.45</v>
      </c>
    </row>
    <row r="11" spans="1:13" ht="41.25" customHeight="1">
      <c r="A11" s="339" t="s">
        <v>1511</v>
      </c>
      <c r="B11" s="339" t="s">
        <v>850</v>
      </c>
      <c r="C11" s="508" t="s">
        <v>1229</v>
      </c>
      <c r="D11" s="1550" t="s">
        <v>1229</v>
      </c>
      <c r="E11" s="508" t="s">
        <v>1229</v>
      </c>
      <c r="F11" s="508" t="s">
        <v>1229</v>
      </c>
      <c r="G11" s="508" t="s">
        <v>1229</v>
      </c>
      <c r="H11" s="339" t="s">
        <v>850</v>
      </c>
      <c r="I11" s="826" t="s">
        <v>1229</v>
      </c>
      <c r="J11" s="826" t="s">
        <v>1229</v>
      </c>
      <c r="K11" s="826" t="s">
        <v>1229</v>
      </c>
      <c r="L11" s="826" t="s">
        <v>1229</v>
      </c>
      <c r="M11" s="826" t="s">
        <v>1229</v>
      </c>
    </row>
    <row r="12" spans="1:13" ht="41.25" customHeight="1">
      <c r="A12" s="339" t="s">
        <v>1512</v>
      </c>
      <c r="B12" s="339" t="s">
        <v>850</v>
      </c>
      <c r="C12" s="508">
        <v>0.11</v>
      </c>
      <c r="D12" s="507">
        <v>0.11</v>
      </c>
      <c r="E12" s="508">
        <v>0.115</v>
      </c>
      <c r="F12" s="508">
        <v>0.1222</v>
      </c>
      <c r="G12" s="508">
        <v>0.126</v>
      </c>
      <c r="H12" s="339" t="s">
        <v>850</v>
      </c>
      <c r="I12" s="509">
        <v>0.22</v>
      </c>
      <c r="J12" s="509">
        <v>0.222</v>
      </c>
      <c r="K12" s="509">
        <v>0.23400000000000001</v>
      </c>
      <c r="L12" s="509">
        <v>0.25</v>
      </c>
      <c r="M12" s="509">
        <v>0.26200000000000001</v>
      </c>
    </row>
    <row r="13" spans="1:13" ht="41.25" customHeight="1">
      <c r="A13" s="243" t="s">
        <v>390</v>
      </c>
      <c r="B13" s="243" t="s">
        <v>850</v>
      </c>
      <c r="C13" s="546">
        <v>5.5E-2</v>
      </c>
      <c r="D13" s="545">
        <v>5.5E-2</v>
      </c>
      <c r="E13" s="546">
        <v>4.7E-2</v>
      </c>
      <c r="F13" s="546">
        <v>0.05</v>
      </c>
      <c r="G13" s="546">
        <v>0.06</v>
      </c>
      <c r="H13" s="243" t="s">
        <v>850</v>
      </c>
      <c r="I13" s="510">
        <v>0.152</v>
      </c>
      <c r="J13" s="510">
        <v>0.153</v>
      </c>
      <c r="K13" s="510">
        <v>0.106</v>
      </c>
      <c r="L13" s="510">
        <v>0.11</v>
      </c>
      <c r="M13" s="510">
        <v>0.13</v>
      </c>
    </row>
    <row r="14" spans="1:13" ht="12.75" customHeight="1">
      <c r="A14" s="1165"/>
      <c r="B14" s="336"/>
      <c r="C14" s="39"/>
      <c r="D14" s="39"/>
      <c r="F14" s="1134"/>
      <c r="G14" s="1134"/>
      <c r="H14" s="1134"/>
      <c r="I14" s="1134"/>
      <c r="J14" s="1134"/>
      <c r="K14" s="1134"/>
      <c r="L14" s="1134"/>
      <c r="M14" s="1134" t="s">
        <v>507</v>
      </c>
    </row>
    <row r="15" spans="1:13" ht="17.25" customHeight="1">
      <c r="D15" s="9"/>
    </row>
  </sheetData>
  <mergeCells count="5">
    <mergeCell ref="A1:M1"/>
    <mergeCell ref="A2:M2"/>
    <mergeCell ref="A3:A4"/>
    <mergeCell ref="B3:G3"/>
    <mergeCell ref="I3:M3"/>
  </mergeCells>
  <phoneticPr fontId="0" type="noConversion"/>
  <conditionalFormatting sqref="C4:G4 I4:M4">
    <cfRule type="cellIs" dxfId="15" priority="1" stopIfTrue="1" operator="equal">
      <formula>".."</formula>
    </cfRule>
  </conditionalFormatting>
  <printOptions horizontalCentered="1"/>
  <pageMargins left="0.1" right="0.1" top="0.8" bottom="0.1" header="0.85" footer="0.1"/>
  <pageSetup paperSize="9" orientation="landscape" blackAndWhite="1" r:id="rId1"/>
  <headerFooter alignWithMargins="0"/>
</worksheet>
</file>

<file path=xl/worksheets/sheet49.xml><?xml version="1.0" encoding="utf-8"?>
<worksheet xmlns="http://schemas.openxmlformats.org/spreadsheetml/2006/main" xmlns:r="http://schemas.openxmlformats.org/officeDocument/2006/relationships">
  <dimension ref="A1:G25"/>
  <sheetViews>
    <sheetView topLeftCell="A10" workbookViewId="0">
      <selection activeCell="J11" sqref="J11"/>
    </sheetView>
  </sheetViews>
  <sheetFormatPr defaultRowHeight="12.75"/>
  <cols>
    <col min="1" max="1" width="29.28515625" customWidth="1"/>
    <col min="2" max="2" width="13.42578125" customWidth="1"/>
    <col min="3" max="7" width="12.7109375" customWidth="1"/>
  </cols>
  <sheetData>
    <row r="1" spans="1:7" ht="18" customHeight="1">
      <c r="A1" s="1739" t="s">
        <v>1323</v>
      </c>
      <c r="B1" s="1739"/>
      <c r="C1" s="1739"/>
      <c r="D1" s="1739"/>
      <c r="E1" s="1739"/>
      <c r="F1" s="1739"/>
      <c r="G1" s="1739"/>
    </row>
    <row r="2" spans="1:7" ht="35.25" customHeight="1">
      <c r="A2" s="1949" t="str">
        <f>CONCATENATE("Classification of Forest Area, Out-turn of Forest Produce, Revenue and Expenditure of 
Forest Department in the district of ",District!A1)</f>
        <v>Classification of Forest Area, Out-turn of Forest Produce, Revenue and Expenditure of 
Forest Department in the district of South 24-Parganas</v>
      </c>
      <c r="B2" s="1949"/>
      <c r="C2" s="1949"/>
      <c r="D2" s="1949"/>
      <c r="E2" s="1949"/>
      <c r="F2" s="1949"/>
      <c r="G2" s="1949"/>
    </row>
    <row r="3" spans="1:7" ht="27" customHeight="1">
      <c r="A3" s="140" t="s">
        <v>1513</v>
      </c>
      <c r="B3" s="142" t="s">
        <v>672</v>
      </c>
      <c r="C3" s="666" t="s">
        <v>1317</v>
      </c>
      <c r="D3" s="1493" t="s">
        <v>221</v>
      </c>
      <c r="E3" s="1493" t="s">
        <v>1301</v>
      </c>
      <c r="F3" s="1493" t="s">
        <v>621</v>
      </c>
      <c r="G3" s="1493" t="s">
        <v>206</v>
      </c>
    </row>
    <row r="4" spans="1:7" ht="15" customHeight="1">
      <c r="A4" s="199" t="s">
        <v>928</v>
      </c>
      <c r="B4" s="118" t="s">
        <v>929</v>
      </c>
      <c r="C4" s="196" t="s">
        <v>930</v>
      </c>
      <c r="D4" s="199" t="s">
        <v>931</v>
      </c>
      <c r="E4" s="199" t="s">
        <v>932</v>
      </c>
      <c r="F4" s="199" t="s">
        <v>933</v>
      </c>
      <c r="G4" s="199" t="s">
        <v>934</v>
      </c>
    </row>
    <row r="5" spans="1:7" ht="19.5" customHeight="1">
      <c r="A5" s="842" t="s">
        <v>1499</v>
      </c>
      <c r="B5" s="811"/>
      <c r="C5" s="405"/>
      <c r="D5" s="405"/>
      <c r="E5" s="405"/>
      <c r="F5" s="418"/>
      <c r="G5" s="418"/>
    </row>
    <row r="6" spans="1:7" ht="19.5" customHeight="1">
      <c r="A6" s="632" t="s">
        <v>93</v>
      </c>
      <c r="B6" s="609" t="s">
        <v>73</v>
      </c>
      <c r="C6" s="85">
        <v>383252</v>
      </c>
      <c r="D6" s="85">
        <v>383252</v>
      </c>
      <c r="E6" s="85">
        <v>423896</v>
      </c>
      <c r="F6" s="85" t="s">
        <v>1893</v>
      </c>
      <c r="G6" s="85" t="s">
        <v>1862</v>
      </c>
    </row>
    <row r="7" spans="1:7" ht="19.5" customHeight="1">
      <c r="A7" s="632" t="s">
        <v>1500</v>
      </c>
      <c r="B7" s="609" t="s">
        <v>850</v>
      </c>
      <c r="C7" s="720">
        <v>40617</v>
      </c>
      <c r="D7" s="85">
        <v>40617</v>
      </c>
      <c r="E7" s="85">
        <v>36242</v>
      </c>
      <c r="F7" s="85" t="s">
        <v>1894</v>
      </c>
      <c r="G7" s="85">
        <v>40617</v>
      </c>
    </row>
    <row r="8" spans="1:7" ht="19.5" customHeight="1">
      <c r="A8" s="632" t="s">
        <v>1514</v>
      </c>
      <c r="B8" s="609" t="s">
        <v>850</v>
      </c>
      <c r="C8" s="85" t="s">
        <v>1229</v>
      </c>
      <c r="D8" s="85" t="s">
        <v>1229</v>
      </c>
      <c r="E8" s="85" t="s">
        <v>1229</v>
      </c>
      <c r="F8" s="85" t="s">
        <v>1895</v>
      </c>
      <c r="G8" s="85" t="s">
        <v>857</v>
      </c>
    </row>
    <row r="9" spans="1:7" ht="19.5" customHeight="1">
      <c r="A9" s="632" t="s">
        <v>1515</v>
      </c>
      <c r="B9" s="609" t="s">
        <v>850</v>
      </c>
      <c r="C9" s="85" t="s">
        <v>1229</v>
      </c>
      <c r="D9" s="85" t="s">
        <v>1229</v>
      </c>
      <c r="E9" s="85" t="s">
        <v>1229</v>
      </c>
      <c r="F9" s="85" t="s">
        <v>1229</v>
      </c>
      <c r="G9" s="85" t="s">
        <v>1229</v>
      </c>
    </row>
    <row r="10" spans="1:7" ht="19.5" customHeight="1">
      <c r="A10" s="632" t="s">
        <v>400</v>
      </c>
      <c r="B10" s="609" t="s">
        <v>850</v>
      </c>
      <c r="C10" s="85" t="s">
        <v>1229</v>
      </c>
      <c r="D10" s="85" t="s">
        <v>1229</v>
      </c>
      <c r="E10" s="85" t="s">
        <v>1229</v>
      </c>
      <c r="F10" s="85" t="s">
        <v>1229</v>
      </c>
      <c r="G10" s="85" t="s">
        <v>1229</v>
      </c>
    </row>
    <row r="11" spans="1:7" ht="19.5" customHeight="1">
      <c r="A11" s="632" t="s">
        <v>1542</v>
      </c>
      <c r="B11" s="609" t="s">
        <v>850</v>
      </c>
      <c r="C11" s="85" t="s">
        <v>1229</v>
      </c>
      <c r="D11" s="85" t="s">
        <v>1229</v>
      </c>
      <c r="E11" s="85" t="s">
        <v>1229</v>
      </c>
      <c r="F11" s="85" t="s">
        <v>1229</v>
      </c>
      <c r="G11" s="85" t="s">
        <v>1229</v>
      </c>
    </row>
    <row r="12" spans="1:7" ht="19.5" customHeight="1">
      <c r="A12" s="632" t="s">
        <v>1517</v>
      </c>
      <c r="B12" s="609" t="s">
        <v>850</v>
      </c>
      <c r="C12" s="85" t="s">
        <v>1229</v>
      </c>
      <c r="D12" s="85" t="s">
        <v>1229</v>
      </c>
      <c r="E12" s="85" t="s">
        <v>1229</v>
      </c>
      <c r="F12" s="85" t="s">
        <v>1229</v>
      </c>
      <c r="G12" s="85" t="s">
        <v>1229</v>
      </c>
    </row>
    <row r="13" spans="1:7" ht="19.5" customHeight="1">
      <c r="A13" s="502" t="s">
        <v>1516</v>
      </c>
      <c r="B13" s="609" t="s">
        <v>850</v>
      </c>
      <c r="C13" s="85" t="s">
        <v>1229</v>
      </c>
      <c r="D13" s="85" t="s">
        <v>1229</v>
      </c>
      <c r="E13" s="85" t="s">
        <v>1229</v>
      </c>
      <c r="F13" s="85" t="s">
        <v>1229</v>
      </c>
      <c r="G13" s="85" t="s">
        <v>1229</v>
      </c>
    </row>
    <row r="14" spans="1:7" ht="19.5" customHeight="1">
      <c r="A14" s="809" t="s">
        <v>244</v>
      </c>
      <c r="B14" s="800"/>
      <c r="C14" s="221">
        <f>SUM(C6:C13)</f>
        <v>423869</v>
      </c>
      <c r="D14" s="1003">
        <f>SUM(D6:D13)</f>
        <v>423869</v>
      </c>
      <c r="E14" s="221">
        <f>SUM(E6:E13)</f>
        <v>460138</v>
      </c>
      <c r="F14" s="221">
        <v>460379</v>
      </c>
      <c r="G14" s="221">
        <v>593110</v>
      </c>
    </row>
    <row r="15" spans="1:7" ht="19.5" customHeight="1">
      <c r="A15" s="843" t="s">
        <v>94</v>
      </c>
      <c r="B15" s="766"/>
      <c r="C15" s="810"/>
      <c r="D15" s="810"/>
      <c r="E15" s="810"/>
      <c r="F15" s="810"/>
      <c r="G15" s="810"/>
    </row>
    <row r="16" spans="1:7" ht="28.5" customHeight="1">
      <c r="A16" s="613" t="s">
        <v>1548</v>
      </c>
      <c r="B16" s="1368" t="s">
        <v>1400</v>
      </c>
      <c r="C16" s="754">
        <v>0.5</v>
      </c>
      <c r="D16" s="1551" t="s">
        <v>1229</v>
      </c>
      <c r="E16" s="1325">
        <v>2.06</v>
      </c>
      <c r="F16" s="754" t="s">
        <v>857</v>
      </c>
      <c r="G16" s="754" t="s">
        <v>857</v>
      </c>
    </row>
    <row r="17" spans="1:7" ht="21.75" customHeight="1">
      <c r="A17" s="613" t="s">
        <v>1549</v>
      </c>
      <c r="B17" s="637" t="s">
        <v>850</v>
      </c>
      <c r="C17" s="754">
        <v>115</v>
      </c>
      <c r="D17" s="1326" t="s">
        <v>1229</v>
      </c>
      <c r="E17" s="754" t="s">
        <v>1399</v>
      </c>
      <c r="F17" s="754" t="s">
        <v>857</v>
      </c>
      <c r="G17" s="754" t="s">
        <v>857</v>
      </c>
    </row>
    <row r="18" spans="1:7" ht="18" customHeight="1">
      <c r="A18" s="613" t="s">
        <v>1550</v>
      </c>
      <c r="B18" s="767" t="s">
        <v>839</v>
      </c>
      <c r="C18" s="393">
        <v>138</v>
      </c>
      <c r="D18" s="711" t="s">
        <v>1229</v>
      </c>
      <c r="E18" s="711">
        <v>2482</v>
      </c>
      <c r="F18" s="393" t="s">
        <v>857</v>
      </c>
      <c r="G18" s="393" t="s">
        <v>857</v>
      </c>
    </row>
    <row r="19" spans="1:7" ht="18" customHeight="1">
      <c r="A19" s="613" t="s">
        <v>264</v>
      </c>
      <c r="B19" s="767" t="s">
        <v>1461</v>
      </c>
      <c r="C19" s="754">
        <v>119.5</v>
      </c>
      <c r="D19" s="754">
        <v>200.75</v>
      </c>
      <c r="E19" s="754" t="s">
        <v>1489</v>
      </c>
      <c r="F19" s="754">
        <v>8867.0499999999993</v>
      </c>
      <c r="G19" s="754">
        <v>392</v>
      </c>
    </row>
    <row r="20" spans="1:7" ht="18" customHeight="1">
      <c r="A20" s="613" t="s">
        <v>265</v>
      </c>
      <c r="B20" s="767" t="s">
        <v>1461</v>
      </c>
      <c r="C20" s="754">
        <v>0.4</v>
      </c>
      <c r="D20" s="754">
        <v>18.77</v>
      </c>
      <c r="E20" s="754">
        <v>18.43</v>
      </c>
      <c r="F20" s="754" t="s">
        <v>857</v>
      </c>
      <c r="G20" s="754" t="s">
        <v>857</v>
      </c>
    </row>
    <row r="21" spans="1:7" ht="18" customHeight="1">
      <c r="A21" s="844" t="s">
        <v>95</v>
      </c>
      <c r="B21" s="733"/>
      <c r="C21" s="744"/>
      <c r="D21" s="744"/>
      <c r="E21" s="744"/>
      <c r="F21" s="744"/>
      <c r="G21" s="744"/>
    </row>
    <row r="22" spans="1:7" ht="18" customHeight="1">
      <c r="A22" s="737" t="s">
        <v>1551</v>
      </c>
      <c r="B22" s="767" t="s">
        <v>559</v>
      </c>
      <c r="C22" s="393">
        <v>9446</v>
      </c>
      <c r="D22" s="393">
        <v>13093</v>
      </c>
      <c r="E22" s="393">
        <v>7317</v>
      </c>
      <c r="F22" s="1629" t="s">
        <v>1896</v>
      </c>
      <c r="G22" s="393">
        <v>16778</v>
      </c>
    </row>
    <row r="23" spans="1:7" ht="18" customHeight="1">
      <c r="A23" s="615" t="s">
        <v>1552</v>
      </c>
      <c r="B23" s="732" t="s">
        <v>850</v>
      </c>
      <c r="C23" s="441">
        <v>271028</v>
      </c>
      <c r="D23" s="441">
        <v>298493</v>
      </c>
      <c r="E23" s="441">
        <v>143657</v>
      </c>
      <c r="F23" s="1630" t="s">
        <v>1897</v>
      </c>
      <c r="G23" s="441">
        <v>214104</v>
      </c>
    </row>
    <row r="24" spans="1:7">
      <c r="A24" s="1618" t="s">
        <v>1871</v>
      </c>
      <c r="B24" s="108"/>
      <c r="C24" s="108"/>
      <c r="D24" s="1008" t="s">
        <v>610</v>
      </c>
      <c r="E24" s="1164" t="s">
        <v>1105</v>
      </c>
      <c r="F24" s="1009"/>
      <c r="G24" s="1009"/>
    </row>
    <row r="25" spans="1:7" ht="24.75" customHeight="1">
      <c r="D25" s="1137" t="s">
        <v>615</v>
      </c>
      <c r="E25" s="2029" t="s">
        <v>1106</v>
      </c>
      <c r="F25" s="2029"/>
      <c r="G25" s="2030"/>
    </row>
  </sheetData>
  <mergeCells count="3">
    <mergeCell ref="A1:G1"/>
    <mergeCell ref="A2:G2"/>
    <mergeCell ref="E25:G25"/>
  </mergeCells>
  <phoneticPr fontId="0" type="noConversion"/>
  <conditionalFormatting sqref="A1:XFD1048576">
    <cfRule type="cellIs" dxfId="14" priority="1" stopIfTrue="1" operator="equal">
      <formula>".."</formula>
    </cfRule>
  </conditionalFormatting>
  <printOptions horizontalCentered="1"/>
  <pageMargins left="0.1" right="0.1" top="0.44" bottom="0.1" header="0.22" footer="0.5"/>
  <pageSetup paperSize="9" orientation="landscape" blackAndWhite="1" copies="2" r:id="rId1"/>
  <headerFooter alignWithMargins="0"/>
</worksheet>
</file>

<file path=xl/worksheets/sheet5.xml><?xml version="1.0" encoding="utf-8"?>
<worksheet xmlns="http://schemas.openxmlformats.org/spreadsheetml/2006/main" xmlns:r="http://schemas.openxmlformats.org/officeDocument/2006/relationships">
  <sheetPr codeName="Sheet43"/>
  <dimension ref="A1:F127"/>
  <sheetViews>
    <sheetView workbookViewId="0">
      <selection activeCell="J11" sqref="J11"/>
    </sheetView>
  </sheetViews>
  <sheetFormatPr defaultRowHeight="12.75"/>
  <cols>
    <col min="1" max="1" width="41.7109375" customWidth="1"/>
    <col min="2" max="2" width="16.140625" customWidth="1"/>
    <col min="3" max="3" width="13.7109375" bestFit="1" customWidth="1"/>
    <col min="4" max="4" width="13" customWidth="1"/>
  </cols>
  <sheetData>
    <row r="1" spans="1:6" ht="19.5">
      <c r="A1" s="1702" t="str">
        <f>CONCATENATE(District!$A$1," at a glance")</f>
        <v>South 24-Parganas at a glance</v>
      </c>
      <c r="B1" s="1702"/>
      <c r="C1" s="1702"/>
      <c r="D1" s="1702"/>
    </row>
    <row r="2" spans="1:6" ht="14.25" customHeight="1">
      <c r="A2" s="134" t="s">
        <v>670</v>
      </c>
      <c r="B2" s="134" t="s">
        <v>671</v>
      </c>
      <c r="C2" s="134" t="s">
        <v>672</v>
      </c>
      <c r="D2" s="459" t="s">
        <v>749</v>
      </c>
    </row>
    <row r="3" spans="1:6" ht="14.25" customHeight="1">
      <c r="A3" s="196" t="s">
        <v>928</v>
      </c>
      <c r="B3" s="196" t="s">
        <v>929</v>
      </c>
      <c r="C3" s="196" t="s">
        <v>930</v>
      </c>
      <c r="D3" s="304" t="s">
        <v>931</v>
      </c>
      <c r="F3" s="230"/>
    </row>
    <row r="4" spans="1:6" ht="14.25" customHeight="1">
      <c r="A4" s="1092" t="s">
        <v>750</v>
      </c>
      <c r="B4" s="77"/>
      <c r="C4" s="77"/>
      <c r="D4" s="82"/>
    </row>
    <row r="5" spans="1:6" ht="14.25" customHeight="1">
      <c r="A5" s="391" t="s">
        <v>751</v>
      </c>
      <c r="B5" s="77"/>
      <c r="C5" s="77"/>
      <c r="D5" s="368" t="str">
        <f>'1.1,1.2'!F7</f>
        <v>Alipore</v>
      </c>
    </row>
    <row r="6" spans="1:6" ht="14.25" customHeight="1">
      <c r="A6" s="391" t="s">
        <v>175</v>
      </c>
      <c r="B6" s="226">
        <f>District!$F$5</f>
        <v>2014</v>
      </c>
      <c r="C6" s="231" t="s">
        <v>839</v>
      </c>
      <c r="D6" s="229" t="str">
        <f>RIGHT('2.1'!A56,1)</f>
        <v>5</v>
      </c>
    </row>
    <row r="7" spans="1:6" ht="14.25" customHeight="1">
      <c r="A7" s="391" t="s">
        <v>466</v>
      </c>
      <c r="B7" s="226" t="s">
        <v>850</v>
      </c>
      <c r="C7" s="231" t="s">
        <v>850</v>
      </c>
      <c r="D7" s="229">
        <f>'2.1'!B56</f>
        <v>39</v>
      </c>
    </row>
    <row r="8" spans="1:6" ht="14.25" customHeight="1">
      <c r="A8" s="391" t="s">
        <v>840</v>
      </c>
      <c r="B8" s="226">
        <v>2011</v>
      </c>
      <c r="C8" s="231" t="s">
        <v>850</v>
      </c>
      <c r="D8" s="229">
        <f>'2.1'!H56</f>
        <v>1994</v>
      </c>
      <c r="F8" s="139"/>
    </row>
    <row r="9" spans="1:6" ht="14.25" customHeight="1">
      <c r="A9" s="391" t="s">
        <v>331</v>
      </c>
      <c r="B9" s="226">
        <v>2001</v>
      </c>
      <c r="C9" s="231" t="s">
        <v>850</v>
      </c>
      <c r="D9" s="229">
        <f>'2.1'!G56</f>
        <v>2139</v>
      </c>
    </row>
    <row r="10" spans="1:6" ht="14.25" customHeight="1">
      <c r="A10" s="391" t="s">
        <v>176</v>
      </c>
      <c r="B10" s="226">
        <f>District!$F$5</f>
        <v>2014</v>
      </c>
      <c r="C10" s="231" t="s">
        <v>850</v>
      </c>
      <c r="D10" s="1253" t="str">
        <f>'2.1'!J56</f>
        <v>-</v>
      </c>
    </row>
    <row r="11" spans="1:6" ht="14.25" customHeight="1">
      <c r="A11" s="391" t="s">
        <v>177</v>
      </c>
      <c r="B11" s="226" t="s">
        <v>850</v>
      </c>
      <c r="C11" s="231" t="s">
        <v>850</v>
      </c>
      <c r="D11" s="229">
        <f>'2.1'!L56</f>
        <v>7</v>
      </c>
    </row>
    <row r="12" spans="1:6" ht="14.25" customHeight="1">
      <c r="A12" s="391" t="s">
        <v>178</v>
      </c>
      <c r="B12" s="226" t="s">
        <v>850</v>
      </c>
      <c r="C12" s="231" t="s">
        <v>850</v>
      </c>
      <c r="D12" s="229" t="str">
        <f>LEFT('2.1'!C56,2)</f>
        <v>29</v>
      </c>
    </row>
    <row r="13" spans="1:6" ht="14.25" customHeight="1">
      <c r="A13" s="391" t="s">
        <v>1314</v>
      </c>
      <c r="B13" s="226" t="s">
        <v>850</v>
      </c>
      <c r="C13" s="231" t="s">
        <v>850</v>
      </c>
      <c r="D13" s="229">
        <f>'2.1'!D56</f>
        <v>29</v>
      </c>
    </row>
    <row r="14" spans="1:6" ht="14.25" customHeight="1">
      <c r="A14" s="391" t="s">
        <v>843</v>
      </c>
      <c r="B14" s="226" t="s">
        <v>850</v>
      </c>
      <c r="C14" s="231" t="s">
        <v>850</v>
      </c>
      <c r="D14" s="229">
        <f>'2.1'!E56</f>
        <v>310</v>
      </c>
    </row>
    <row r="15" spans="1:6" ht="14.25" customHeight="1">
      <c r="A15" s="391" t="s">
        <v>844</v>
      </c>
      <c r="B15" s="226" t="s">
        <v>850</v>
      </c>
      <c r="C15" s="231" t="s">
        <v>850</v>
      </c>
      <c r="D15" s="229">
        <f>'2.1'!F56</f>
        <v>4882</v>
      </c>
    </row>
    <row r="16" spans="1:6" ht="14.25" customHeight="1">
      <c r="A16" s="1092" t="s">
        <v>845</v>
      </c>
      <c r="B16" s="226"/>
      <c r="C16" s="231"/>
      <c r="D16" s="229"/>
    </row>
    <row r="17" spans="1:4" ht="14.25" customHeight="1">
      <c r="A17" s="391" t="s">
        <v>846</v>
      </c>
      <c r="B17" s="226">
        <f>District!$G$4</f>
        <v>2011</v>
      </c>
      <c r="C17" s="231" t="s">
        <v>185</v>
      </c>
      <c r="D17" s="1254">
        <f>'2.2'!B46</f>
        <v>9960</v>
      </c>
    </row>
    <row r="18" spans="1:4" ht="14.25" customHeight="1">
      <c r="A18" s="391" t="s">
        <v>847</v>
      </c>
      <c r="B18" s="226" t="s">
        <v>850</v>
      </c>
      <c r="C18" s="231" t="s">
        <v>839</v>
      </c>
      <c r="D18" s="1255">
        <f>'2.2'!C46</f>
        <v>8161961</v>
      </c>
    </row>
    <row r="19" spans="1:4" ht="14.25" customHeight="1">
      <c r="A19" s="391" t="s">
        <v>442</v>
      </c>
      <c r="B19" s="226" t="s">
        <v>850</v>
      </c>
      <c r="C19" s="231" t="s">
        <v>443</v>
      </c>
      <c r="D19" s="1255">
        <f>'2.2'!D46</f>
        <v>819</v>
      </c>
    </row>
    <row r="20" spans="1:4" ht="14.25" customHeight="1">
      <c r="A20" s="391" t="s">
        <v>329</v>
      </c>
      <c r="C20" s="405"/>
      <c r="D20" s="405"/>
    </row>
    <row r="21" spans="1:4" ht="14.25" customHeight="1">
      <c r="A21" s="391" t="s">
        <v>328</v>
      </c>
      <c r="B21" s="226" t="s">
        <v>850</v>
      </c>
      <c r="C21" s="231" t="s">
        <v>366</v>
      </c>
      <c r="D21" s="1254">
        <f>'2.3'!D17/D18*100</f>
        <v>51.136951034193871</v>
      </c>
    </row>
    <row r="22" spans="1:4" ht="14.25" customHeight="1">
      <c r="A22" s="391" t="s">
        <v>851</v>
      </c>
      <c r="B22" s="226" t="s">
        <v>850</v>
      </c>
      <c r="C22" s="231" t="s">
        <v>850</v>
      </c>
      <c r="D22" s="1254">
        <f>'2.3'!E17/D18*100</f>
        <v>48.863048965806129</v>
      </c>
    </row>
    <row r="23" spans="1:4" ht="14.25" customHeight="1">
      <c r="A23" s="391" t="s">
        <v>852</v>
      </c>
      <c r="B23" s="226" t="s">
        <v>850</v>
      </c>
      <c r="C23" s="231" t="s">
        <v>850</v>
      </c>
      <c r="D23" s="1254">
        <f>'2.3'!H17/D18*100</f>
        <v>74.420693752396033</v>
      </c>
    </row>
    <row r="24" spans="1:4" ht="14.25" customHeight="1">
      <c r="A24" s="391" t="s">
        <v>853</v>
      </c>
      <c r="B24" s="226" t="s">
        <v>850</v>
      </c>
      <c r="C24" s="231" t="s">
        <v>850</v>
      </c>
      <c r="D24" s="1254">
        <f>'2.3'!G17/D18*100</f>
        <v>25.579306247603977</v>
      </c>
    </row>
    <row r="25" spans="1:4" ht="14.25" customHeight="1">
      <c r="A25" s="1092" t="s">
        <v>75</v>
      </c>
      <c r="B25" s="226"/>
      <c r="C25" s="231"/>
      <c r="D25" s="229"/>
    </row>
    <row r="26" spans="1:4" ht="14.25" customHeight="1">
      <c r="A26" s="391" t="s">
        <v>179</v>
      </c>
      <c r="B26" s="226">
        <f>District!$F$5</f>
        <v>2014</v>
      </c>
      <c r="C26" s="231" t="s">
        <v>854</v>
      </c>
      <c r="D26" s="229">
        <f>'1.1,1.2'!H28</f>
        <v>1412</v>
      </c>
    </row>
    <row r="27" spans="1:4" ht="14.25" customHeight="1">
      <c r="A27" s="391" t="s">
        <v>855</v>
      </c>
      <c r="B27" s="226" t="s">
        <v>850</v>
      </c>
      <c r="C27" s="231" t="s">
        <v>856</v>
      </c>
      <c r="D27" s="229">
        <f>'1.3,1.4'!J20</f>
        <v>41</v>
      </c>
    </row>
    <row r="28" spans="1:4" ht="14.25" customHeight="1">
      <c r="A28" s="391" t="s">
        <v>444</v>
      </c>
      <c r="B28" s="226" t="s">
        <v>850</v>
      </c>
      <c r="C28" s="231" t="s">
        <v>850</v>
      </c>
      <c r="D28" s="229">
        <f>'1.3,1.4'!K20</f>
        <v>10</v>
      </c>
    </row>
    <row r="29" spans="1:4" ht="14.25" customHeight="1">
      <c r="A29" s="1092" t="s">
        <v>858</v>
      </c>
      <c r="B29" s="226"/>
      <c r="C29" s="231"/>
      <c r="D29" s="229"/>
    </row>
    <row r="30" spans="1:4" ht="14.25" customHeight="1">
      <c r="A30" s="391" t="s">
        <v>859</v>
      </c>
      <c r="B30" s="226">
        <v>2011</v>
      </c>
      <c r="C30" s="231" t="s">
        <v>366</v>
      </c>
      <c r="D30" s="229">
        <f>ROUND('2.7'!B56/'2.7'!T56*100,2)</f>
        <v>36.32</v>
      </c>
    </row>
    <row r="31" spans="1:4" ht="14.25" customHeight="1">
      <c r="A31" s="391" t="s">
        <v>860</v>
      </c>
      <c r="B31" s="226" t="s">
        <v>850</v>
      </c>
      <c r="C31" s="231" t="s">
        <v>850</v>
      </c>
      <c r="D31" s="229">
        <f>ROUND('2.7'!R56/'2.7'!T56*100,2)</f>
        <v>63.68</v>
      </c>
    </row>
    <row r="32" spans="1:4" ht="14.25" customHeight="1">
      <c r="A32" s="1092" t="s">
        <v>861</v>
      </c>
      <c r="B32" s="226"/>
      <c r="C32" s="231"/>
      <c r="D32" s="229"/>
    </row>
    <row r="33" spans="1:4" ht="14.25" customHeight="1">
      <c r="A33" s="391" t="s">
        <v>862</v>
      </c>
      <c r="B33" s="226" t="str">
        <f>District!$F$3</f>
        <v>2013-14</v>
      </c>
      <c r="C33" s="1256" t="s">
        <v>1315</v>
      </c>
      <c r="D33" s="1254">
        <f>'5.1 ,5.1a'!M10</f>
        <v>361.54500000000002</v>
      </c>
    </row>
    <row r="34" spans="1:4" ht="14.25" customHeight="1">
      <c r="A34" s="979" t="s">
        <v>162</v>
      </c>
      <c r="B34" s="226" t="s">
        <v>850</v>
      </c>
      <c r="C34" s="231" t="s">
        <v>366</v>
      </c>
      <c r="D34" s="1254">
        <f>ROUND('5.5,5.5a'!L11/'5.1 ,5.1a'!M10*100,2)</f>
        <v>13.08</v>
      </c>
    </row>
    <row r="35" spans="1:4" ht="14.25" customHeight="1">
      <c r="A35" s="391" t="s">
        <v>330</v>
      </c>
      <c r="B35" s="226" t="s">
        <v>850</v>
      </c>
      <c r="C35" s="231" t="s">
        <v>186</v>
      </c>
      <c r="D35" s="229">
        <f>'5.3b,5.3c'!J7</f>
        <v>2515</v>
      </c>
    </row>
    <row r="36" spans="1:4" ht="14.25" customHeight="1">
      <c r="A36" s="1092" t="s">
        <v>867</v>
      </c>
      <c r="B36" s="226"/>
      <c r="C36" s="231"/>
      <c r="D36" s="229"/>
    </row>
    <row r="37" spans="1:4" ht="14.25" customHeight="1">
      <c r="A37" s="979" t="s">
        <v>445</v>
      </c>
      <c r="B37" s="226">
        <f>District!$F$5</f>
        <v>2014</v>
      </c>
      <c r="C37" s="231" t="s">
        <v>839</v>
      </c>
      <c r="D37" s="229">
        <f>'3.1'!J12</f>
        <v>324</v>
      </c>
    </row>
    <row r="38" spans="1:4" ht="14.25" customHeight="1">
      <c r="A38" s="979" t="s">
        <v>552</v>
      </c>
      <c r="B38" s="226" t="str">
        <f>District!$F$3</f>
        <v>2013-14</v>
      </c>
      <c r="C38" s="231"/>
      <c r="D38" s="229">
        <f>'3.2'!B11</f>
        <v>1068</v>
      </c>
    </row>
    <row r="39" spans="1:4" ht="14.25" customHeight="1">
      <c r="A39" s="391" t="s">
        <v>446</v>
      </c>
      <c r="B39" s="226" t="s">
        <v>850</v>
      </c>
      <c r="C39" s="231" t="s">
        <v>850</v>
      </c>
      <c r="D39" s="229">
        <f>'3.2'!E11</f>
        <v>46</v>
      </c>
    </row>
    <row r="40" spans="1:4" ht="14.25" customHeight="1">
      <c r="A40" s="391" t="s">
        <v>868</v>
      </c>
      <c r="B40" s="226">
        <f>District!$F$5</f>
        <v>2014</v>
      </c>
      <c r="C40" s="231" t="s">
        <v>850</v>
      </c>
      <c r="D40" s="229" t="str">
        <f>LEFT('3.1'!K12,4)</f>
        <v>5595</v>
      </c>
    </row>
    <row r="41" spans="1:4" ht="14.25" customHeight="1">
      <c r="A41" s="391" t="s">
        <v>1033</v>
      </c>
      <c r="B41" s="226" t="s">
        <v>850</v>
      </c>
      <c r="C41" s="231" t="s">
        <v>850</v>
      </c>
      <c r="D41" s="229">
        <f>ROUND(D40/D18*100000,0)</f>
        <v>69</v>
      </c>
    </row>
    <row r="42" spans="1:4" ht="14.25" customHeight="1">
      <c r="A42" s="1092" t="s">
        <v>1927</v>
      </c>
      <c r="B42" s="226"/>
      <c r="C42" s="231"/>
      <c r="D42" s="229"/>
    </row>
    <row r="43" spans="1:4" ht="14.25" customHeight="1">
      <c r="A43" s="391" t="s">
        <v>752</v>
      </c>
      <c r="B43" s="226" t="str">
        <f>District!$F$3</f>
        <v>2013-14</v>
      </c>
      <c r="C43" s="231" t="s">
        <v>850</v>
      </c>
      <c r="D43" s="229">
        <f>'4.1a'!I8</f>
        <v>3756</v>
      </c>
    </row>
    <row r="44" spans="1:4" ht="14.25" customHeight="1">
      <c r="A44" s="391" t="s">
        <v>966</v>
      </c>
      <c r="B44" s="226" t="s">
        <v>850</v>
      </c>
      <c r="C44" s="231" t="s">
        <v>850</v>
      </c>
      <c r="D44" s="229">
        <f>'4.1a'!I13</f>
        <v>264</v>
      </c>
    </row>
    <row r="45" spans="1:4" ht="14.25" customHeight="1">
      <c r="A45" s="391" t="s">
        <v>967</v>
      </c>
      <c r="B45" s="226" t="s">
        <v>850</v>
      </c>
      <c r="C45" s="231" t="s">
        <v>850</v>
      </c>
      <c r="D45" s="229">
        <f>'4.1a'!I18</f>
        <v>275</v>
      </c>
    </row>
    <row r="46" spans="1:4" ht="14.25" customHeight="1">
      <c r="A46" s="391" t="s">
        <v>968</v>
      </c>
      <c r="B46" s="226" t="s">
        <v>850</v>
      </c>
      <c r="C46" s="231" t="s">
        <v>850</v>
      </c>
      <c r="D46" s="229">
        <f>'4.1a'!I23</f>
        <v>501</v>
      </c>
    </row>
    <row r="47" spans="1:4" ht="14.25" customHeight="1">
      <c r="A47" s="391" t="s">
        <v>904</v>
      </c>
      <c r="B47" s="226" t="s">
        <v>850</v>
      </c>
      <c r="C47" s="231" t="s">
        <v>850</v>
      </c>
      <c r="D47" s="229">
        <f>'4.1a'!I29</f>
        <v>38</v>
      </c>
    </row>
    <row r="48" spans="1:4" ht="14.25" customHeight="1">
      <c r="A48" s="391" t="s">
        <v>180</v>
      </c>
      <c r="B48" s="226" t="s">
        <v>850</v>
      </c>
      <c r="C48" s="231" t="s">
        <v>850</v>
      </c>
      <c r="D48" s="229" t="str">
        <f>IF(SUM('4.1a'!H30,'4.1b'!H30)=0,"-",SUM('4.1a'!H30,'4.1b'!H30))</f>
        <v>-</v>
      </c>
    </row>
    <row r="49" spans="1:5" ht="14.25" customHeight="1">
      <c r="A49" s="391" t="s">
        <v>1928</v>
      </c>
      <c r="B49" s="226">
        <f>District!$G$4</f>
        <v>2011</v>
      </c>
      <c r="C49" s="231" t="s">
        <v>366</v>
      </c>
      <c r="D49" s="1254" t="str">
        <f>'4.5'!H48</f>
        <v>83.35</v>
      </c>
    </row>
    <row r="50" spans="1:5" ht="14.25" customHeight="1">
      <c r="A50" s="391" t="s">
        <v>1929</v>
      </c>
      <c r="B50" s="226" t="s">
        <v>850</v>
      </c>
      <c r="C50" s="231" t="s">
        <v>850</v>
      </c>
      <c r="D50" s="1254">
        <f>'4.5'!I48</f>
        <v>71.400000000000006</v>
      </c>
    </row>
    <row r="51" spans="1:5" ht="14.25" customHeight="1">
      <c r="A51" s="1257" t="s">
        <v>1930</v>
      </c>
      <c r="B51" s="456" t="s">
        <v>850</v>
      </c>
      <c r="C51" s="703" t="s">
        <v>850</v>
      </c>
      <c r="D51" s="1258" t="str">
        <f>'4.5'!J48</f>
        <v>77.51</v>
      </c>
    </row>
    <row r="52" spans="1:5">
      <c r="A52" s="597"/>
      <c r="B52" s="576"/>
      <c r="C52" s="579"/>
      <c r="D52" s="1233" t="s">
        <v>678</v>
      </c>
    </row>
    <row r="53" spans="1:5">
      <c r="A53" s="597"/>
      <c r="B53" s="576"/>
      <c r="C53" s="579"/>
      <c r="D53" s="1233"/>
    </row>
    <row r="54" spans="1:5">
      <c r="A54" s="597"/>
      <c r="B54" s="576"/>
      <c r="C54" s="579"/>
      <c r="D54" s="1233"/>
    </row>
    <row r="55" spans="1:5">
      <c r="A55" s="1705" t="s">
        <v>1146</v>
      </c>
      <c r="B55" s="1705"/>
      <c r="C55" s="1705"/>
      <c r="D55" s="1705"/>
    </row>
    <row r="56" spans="1:5" ht="21" customHeight="1">
      <c r="A56" s="1703" t="str">
        <f>CONCATENATE(District!$A$1," at a glance","   (Concld.)")</f>
        <v>South 24-Parganas at a glance   (Concld.)</v>
      </c>
      <c r="B56" s="1703"/>
      <c r="C56" s="1703"/>
      <c r="D56" s="1703"/>
    </row>
    <row r="57" spans="1:5" ht="14.25" customHeight="1">
      <c r="A57" s="134" t="s">
        <v>670</v>
      </c>
      <c r="B57" s="134" t="s">
        <v>671</v>
      </c>
      <c r="C57" s="134" t="s">
        <v>672</v>
      </c>
      <c r="D57" s="459" t="s">
        <v>749</v>
      </c>
    </row>
    <row r="58" spans="1:5" ht="14.25" customHeight="1">
      <c r="A58" s="196" t="s">
        <v>928</v>
      </c>
      <c r="B58" s="196" t="s">
        <v>929</v>
      </c>
      <c r="C58" s="196" t="s">
        <v>930</v>
      </c>
      <c r="D58" s="304" t="s">
        <v>931</v>
      </c>
    </row>
    <row r="59" spans="1:5" ht="14.25" customHeight="1">
      <c r="A59" s="1092" t="s">
        <v>905</v>
      </c>
      <c r="B59" s="226"/>
      <c r="C59" s="231"/>
      <c r="D59" s="229"/>
    </row>
    <row r="60" spans="1:5" ht="14.25" customHeight="1">
      <c r="A60" s="391" t="s">
        <v>1850</v>
      </c>
      <c r="B60" s="226">
        <f>District!$F$5</f>
        <v>2014</v>
      </c>
      <c r="C60" s="231" t="s">
        <v>839</v>
      </c>
      <c r="D60" s="229" t="str">
        <f>'9.1'!G9</f>
        <v>7740 (P)</v>
      </c>
    </row>
    <row r="61" spans="1:5" ht="14.25" customHeight="1">
      <c r="A61" s="391" t="s">
        <v>182</v>
      </c>
      <c r="B61" s="226" t="str">
        <f>District!$F$3</f>
        <v>2013-14</v>
      </c>
      <c r="C61" s="753" t="s">
        <v>850</v>
      </c>
      <c r="D61" s="229">
        <f>'8.1,8.2'!D11</f>
        <v>7678</v>
      </c>
      <c r="E61" s="1"/>
    </row>
    <row r="62" spans="1:5" ht="14.25" customHeight="1">
      <c r="A62" s="1092" t="s">
        <v>906</v>
      </c>
      <c r="B62" s="226"/>
      <c r="C62" s="231"/>
      <c r="D62" s="229"/>
    </row>
    <row r="63" spans="1:5" ht="14.25" customHeight="1">
      <c r="A63" s="391" t="s">
        <v>453</v>
      </c>
      <c r="B63" s="226" t="s">
        <v>87</v>
      </c>
      <c r="C63" s="231" t="s">
        <v>850</v>
      </c>
      <c r="D63" s="229">
        <f>'9.1'!G11</f>
        <v>20944</v>
      </c>
    </row>
    <row r="64" spans="1:5" ht="14.25" customHeight="1">
      <c r="A64" s="391" t="s">
        <v>782</v>
      </c>
      <c r="B64" s="226">
        <f>District!$F$5</f>
        <v>2014</v>
      </c>
      <c r="C64" s="231" t="s">
        <v>850</v>
      </c>
      <c r="D64" s="229" t="str">
        <f>'9.1'!G10</f>
        <v>480164 (P)</v>
      </c>
    </row>
    <row r="65" spans="1:4" ht="14.25" customHeight="1">
      <c r="A65" s="391" t="s">
        <v>182</v>
      </c>
      <c r="B65" s="226" t="str">
        <f>District!$F$3</f>
        <v>2013-14</v>
      </c>
      <c r="C65" s="231" t="s">
        <v>850</v>
      </c>
      <c r="D65" s="229">
        <f>'8.1,8.2'!F11</f>
        <v>96437</v>
      </c>
    </row>
    <row r="66" spans="1:4" ht="14.25" customHeight="1">
      <c r="A66" s="1092" t="s">
        <v>88</v>
      </c>
      <c r="B66" s="226"/>
      <c r="C66" s="231"/>
      <c r="D66" s="229"/>
    </row>
    <row r="67" spans="1:4" ht="14.25" customHeight="1">
      <c r="A67" s="391" t="s">
        <v>183</v>
      </c>
      <c r="B67" s="226">
        <f>District!$F$5</f>
        <v>2014</v>
      </c>
      <c r="C67" s="231" t="s">
        <v>850</v>
      </c>
      <c r="D67" s="229">
        <f>'10.1,10.2'!G13</f>
        <v>575499</v>
      </c>
    </row>
    <row r="68" spans="1:4" ht="14.25" customHeight="1">
      <c r="A68" s="1092" t="s">
        <v>907</v>
      </c>
      <c r="B68" s="226"/>
      <c r="C68" s="231"/>
      <c r="D68" s="229"/>
    </row>
    <row r="69" spans="1:4" ht="14.25" customHeight="1">
      <c r="A69" s="391" t="s">
        <v>130</v>
      </c>
      <c r="B69" s="226" t="str">
        <f>District!$F$3</f>
        <v>2013-14</v>
      </c>
      <c r="C69" s="231" t="s">
        <v>850</v>
      </c>
      <c r="D69" s="229">
        <f>'8.1,8.2'!F55</f>
        <v>2069</v>
      </c>
    </row>
    <row r="70" spans="1:4" ht="14.25" customHeight="1">
      <c r="A70" s="391" t="s">
        <v>734</v>
      </c>
      <c r="B70" s="226" t="s">
        <v>850</v>
      </c>
      <c r="C70" s="1256" t="s">
        <v>1095</v>
      </c>
      <c r="D70" s="229">
        <f>'8.2a'!J10</f>
        <v>1179010</v>
      </c>
    </row>
    <row r="71" spans="1:4" ht="14.25" customHeight="1">
      <c r="A71" s="1092" t="s">
        <v>908</v>
      </c>
      <c r="B71" s="226"/>
      <c r="C71" s="231"/>
      <c r="D71" s="229"/>
    </row>
    <row r="72" spans="1:4" ht="14.25" customHeight="1">
      <c r="A72" s="391" t="s">
        <v>909</v>
      </c>
      <c r="B72" s="226" t="s">
        <v>850</v>
      </c>
      <c r="C72" s="231" t="s">
        <v>839</v>
      </c>
      <c r="D72" s="229">
        <f>'7.1'!C47</f>
        <v>1150</v>
      </c>
    </row>
    <row r="73" spans="1:4" ht="14.25" customHeight="1">
      <c r="A73" s="391" t="s">
        <v>910</v>
      </c>
      <c r="B73" s="226" t="s">
        <v>850</v>
      </c>
      <c r="C73" s="231" t="s">
        <v>850</v>
      </c>
      <c r="D73" s="229">
        <f>'7.1'!D47</f>
        <v>683203</v>
      </c>
    </row>
    <row r="74" spans="1:4" ht="14.25" customHeight="1">
      <c r="A74" s="391" t="s">
        <v>911</v>
      </c>
      <c r="B74" s="226" t="s">
        <v>850</v>
      </c>
      <c r="C74" s="1256" t="s">
        <v>471</v>
      </c>
      <c r="D74" s="229">
        <f>'7.1'!E47</f>
        <v>8554695</v>
      </c>
    </row>
    <row r="75" spans="1:4" ht="14.25" customHeight="1">
      <c r="A75" s="1092" t="s">
        <v>1137</v>
      </c>
      <c r="B75" s="226"/>
      <c r="C75" s="231"/>
      <c r="D75" s="229"/>
    </row>
    <row r="76" spans="1:4" ht="14.25" customHeight="1">
      <c r="A76" s="391" t="s">
        <v>912</v>
      </c>
      <c r="B76" s="1259" t="str">
        <f>"June, " &amp; '7.2,7.3'!A11</f>
        <v>June, 2014</v>
      </c>
      <c r="C76" s="231" t="s">
        <v>839</v>
      </c>
      <c r="D76" s="1255">
        <f>'7.2,7.3'!N11</f>
        <v>416</v>
      </c>
    </row>
    <row r="77" spans="1:4" ht="14.25" customHeight="1">
      <c r="A77" s="1092" t="s">
        <v>913</v>
      </c>
      <c r="B77" s="226"/>
      <c r="C77" s="231"/>
      <c r="D77" s="229"/>
    </row>
    <row r="78" spans="1:4" ht="14.25" customHeight="1">
      <c r="A78" s="391" t="s">
        <v>914</v>
      </c>
      <c r="B78" s="226" t="str">
        <f>District!$F$3</f>
        <v>2013-14</v>
      </c>
      <c r="C78" s="231" t="s">
        <v>839</v>
      </c>
      <c r="D78" s="229" t="str">
        <f>'12.5,12.6,12.7'!B22</f>
        <v>1682*</v>
      </c>
    </row>
    <row r="79" spans="1:4" ht="14.25" customHeight="1">
      <c r="A79" s="391" t="s">
        <v>181</v>
      </c>
      <c r="B79" s="226" t="s">
        <v>850</v>
      </c>
      <c r="C79" s="231" t="s">
        <v>850</v>
      </c>
      <c r="D79" s="229" t="str">
        <f>LEFT('12.5,12.6,12.7'!F22,1)</f>
        <v>-</v>
      </c>
    </row>
    <row r="80" spans="1:4" ht="14.25" customHeight="1">
      <c r="A80" s="391" t="s">
        <v>1931</v>
      </c>
      <c r="B80" s="226" t="s">
        <v>850</v>
      </c>
      <c r="C80" s="231" t="s">
        <v>1096</v>
      </c>
      <c r="D80" s="1254">
        <f>SUM('12.1,12.2'!B11,'12.1,12.2'!E11,'12.1,12.2'!H11,'12.1,12.2'!K11,'12.3,12.4'!C10)</f>
        <v>17110.02</v>
      </c>
    </row>
    <row r="81" spans="1:4" ht="14.25" customHeight="1">
      <c r="A81" s="391" t="s">
        <v>1932</v>
      </c>
      <c r="B81" s="226" t="s">
        <v>850</v>
      </c>
      <c r="C81" s="231" t="s">
        <v>850</v>
      </c>
      <c r="D81" s="1254">
        <f>SUM('12.1,12.2'!C11,'12.1,12.2'!F11,'12.1,12.2'!I11,'12.1,12.2'!L11,'12.3,12.4'!F10)</f>
        <v>19936.12</v>
      </c>
    </row>
    <row r="82" spans="1:4" ht="14.25" customHeight="1">
      <c r="A82" s="391" t="s">
        <v>147</v>
      </c>
      <c r="B82" s="226" t="s">
        <v>850</v>
      </c>
      <c r="C82" s="231" t="s">
        <v>839</v>
      </c>
      <c r="D82" s="229">
        <f>'12.3,12.4'!K31</f>
        <v>449646</v>
      </c>
    </row>
    <row r="83" spans="1:4" ht="14.25" customHeight="1">
      <c r="A83" s="1092" t="s">
        <v>919</v>
      </c>
      <c r="B83" s="226"/>
      <c r="C83" s="231"/>
      <c r="D83" s="229"/>
    </row>
    <row r="84" spans="1:4" ht="14.25" customHeight="1">
      <c r="A84" s="391" t="s">
        <v>184</v>
      </c>
      <c r="B84" s="226" t="s">
        <v>850</v>
      </c>
      <c r="C84" s="1256" t="s">
        <v>471</v>
      </c>
      <c r="D84" s="229" t="str">
        <f>LEFT('15.2'!B10,8)</f>
        <v xml:space="preserve">-723680 </v>
      </c>
    </row>
    <row r="85" spans="1:4" ht="14.25" customHeight="1">
      <c r="A85" s="1257" t="s">
        <v>283</v>
      </c>
      <c r="B85" s="226" t="s">
        <v>850</v>
      </c>
      <c r="C85" s="703" t="s">
        <v>850</v>
      </c>
      <c r="D85" s="1251">
        <f>'15.1'!L10</f>
        <v>10961677</v>
      </c>
    </row>
    <row r="86" spans="1:4">
      <c r="A86" s="1706" t="s">
        <v>111</v>
      </c>
      <c r="B86" s="608"/>
      <c r="C86" s="1"/>
      <c r="D86" s="1"/>
    </row>
    <row r="87" spans="1:4">
      <c r="A87" s="1707"/>
      <c r="B87" s="320"/>
    </row>
    <row r="88" spans="1:4" ht="13.5">
      <c r="A88" s="1506"/>
      <c r="B88" s="320"/>
    </row>
    <row r="89" spans="1:4" ht="20.25" hidden="1" customHeight="1">
      <c r="A89" s="1704" t="s">
        <v>587</v>
      </c>
      <c r="B89" s="1704"/>
      <c r="D89" s="580"/>
    </row>
    <row r="90" spans="1:4" hidden="1">
      <c r="A90" s="322" t="s">
        <v>877</v>
      </c>
      <c r="B90" s="323" t="s">
        <v>1340</v>
      </c>
    </row>
    <row r="91" spans="1:4" hidden="1">
      <c r="A91" s="322" t="s">
        <v>878</v>
      </c>
      <c r="B91" s="323" t="s">
        <v>1341</v>
      </c>
    </row>
    <row r="92" spans="1:4" hidden="1">
      <c r="A92" s="324" t="s">
        <v>879</v>
      </c>
      <c r="B92" s="323" t="s">
        <v>1342</v>
      </c>
    </row>
    <row r="93" spans="1:4" hidden="1">
      <c r="A93" s="324" t="s">
        <v>880</v>
      </c>
      <c r="B93" s="323" t="s">
        <v>1343</v>
      </c>
    </row>
    <row r="94" spans="1:4" hidden="1">
      <c r="A94" s="324" t="s">
        <v>881</v>
      </c>
      <c r="B94" s="323" t="s">
        <v>1344</v>
      </c>
    </row>
    <row r="95" spans="1:4" hidden="1">
      <c r="A95" s="324" t="s">
        <v>882</v>
      </c>
      <c r="B95" s="323" t="s">
        <v>1765</v>
      </c>
    </row>
    <row r="96" spans="1:4" hidden="1">
      <c r="A96" s="324" t="s">
        <v>883</v>
      </c>
      <c r="B96" s="323" t="s">
        <v>1345</v>
      </c>
    </row>
    <row r="97" spans="1:4" hidden="1">
      <c r="A97" s="324" t="s">
        <v>884</v>
      </c>
      <c r="B97" s="323" t="s">
        <v>1346</v>
      </c>
    </row>
    <row r="98" spans="1:4" hidden="1">
      <c r="A98" s="324" t="s">
        <v>885</v>
      </c>
      <c r="B98" s="323" t="s">
        <v>841</v>
      </c>
    </row>
    <row r="99" spans="1:4" hidden="1">
      <c r="A99" s="324" t="s">
        <v>886</v>
      </c>
      <c r="B99" s="323" t="s">
        <v>842</v>
      </c>
    </row>
    <row r="100" spans="1:4" hidden="1">
      <c r="A100" s="324" t="s">
        <v>887</v>
      </c>
      <c r="B100" s="323" t="s">
        <v>988</v>
      </c>
    </row>
    <row r="101" spans="1:4" hidden="1">
      <c r="A101" s="324" t="s">
        <v>888</v>
      </c>
      <c r="B101" s="323" t="s">
        <v>987</v>
      </c>
    </row>
    <row r="102" spans="1:4" hidden="1">
      <c r="A102" s="324" t="s">
        <v>889</v>
      </c>
      <c r="B102" s="323" t="s">
        <v>986</v>
      </c>
    </row>
    <row r="105" spans="1:4">
      <c r="A105" s="1"/>
      <c r="B105" s="1"/>
      <c r="C105" s="1"/>
      <c r="D105" s="1"/>
    </row>
    <row r="127" spans="1:4">
      <c r="A127" s="1700" t="s">
        <v>1148</v>
      </c>
      <c r="B127" s="1700"/>
      <c r="C127" s="1700"/>
      <c r="D127" s="1700"/>
    </row>
  </sheetData>
  <mergeCells count="6">
    <mergeCell ref="A1:D1"/>
    <mergeCell ref="A56:D56"/>
    <mergeCell ref="A89:B89"/>
    <mergeCell ref="A127:D127"/>
    <mergeCell ref="A55:D55"/>
    <mergeCell ref="A86:A87"/>
  </mergeCells>
  <phoneticPr fontId="0" type="noConversion"/>
  <conditionalFormatting sqref="G49:IV65535 E75:F65535 A126:D65535 B75:D124 A88:A124 B49:F74 B1:B19 C1:IV48 B21:B48 A1:A86">
    <cfRule type="cellIs" dxfId="35" priority="2" stopIfTrue="1" operator="equal">
      <formula>".."</formula>
    </cfRule>
  </conditionalFormatting>
  <conditionalFormatting sqref="A49:A51">
    <cfRule type="cellIs" dxfId="34" priority="1" stopIfTrue="1" operator="equal">
      <formula>".."</formula>
    </cfRule>
  </conditionalFormatting>
  <printOptions horizontalCentered="1"/>
  <pageMargins left="0.1" right="0.1" top="0.75" bottom="0.1" header="0.5" footer="0.5"/>
  <pageSetup paperSize="9" orientation="portrait" blackAndWhite="1" r:id="rId1"/>
  <headerFooter alignWithMargins="0"/>
  <rowBreaks count="1" manualBreakCount="1">
    <brk id="55" max="16383" man="1"/>
  </rowBreaks>
  <legacyDrawing r:id="rId2"/>
  <oleObjects>
    <oleObject progId="Word.Document.8" shapeId="17409" r:id="rId3"/>
  </oleObjects>
</worksheet>
</file>

<file path=xl/worksheets/sheet50.xml><?xml version="1.0" encoding="utf-8"?>
<worksheet xmlns="http://schemas.openxmlformats.org/spreadsheetml/2006/main" xmlns:r="http://schemas.openxmlformats.org/officeDocument/2006/relationships">
  <dimension ref="A1:M35"/>
  <sheetViews>
    <sheetView topLeftCell="A10" workbookViewId="0">
      <selection activeCell="J11" sqref="J11"/>
    </sheetView>
  </sheetViews>
  <sheetFormatPr defaultRowHeight="12.75"/>
  <cols>
    <col min="1" max="2" width="12.7109375" customWidth="1"/>
    <col min="3" max="3" width="12.42578125" customWidth="1"/>
    <col min="4" max="4" width="10.140625" customWidth="1"/>
    <col min="5" max="5" width="9.7109375" customWidth="1"/>
    <col min="6" max="6" width="10" customWidth="1"/>
    <col min="7" max="8" width="8.5703125" customWidth="1"/>
    <col min="9" max="10" width="9" customWidth="1"/>
    <col min="12" max="12" width="10" customWidth="1"/>
  </cols>
  <sheetData>
    <row r="1" spans="1:12">
      <c r="A1" s="1948" t="s">
        <v>766</v>
      </c>
      <c r="B1" s="1948"/>
      <c r="C1" s="1948"/>
      <c r="D1" s="1948"/>
      <c r="E1" s="1948"/>
      <c r="F1" s="1948"/>
      <c r="G1" s="1948"/>
      <c r="H1" s="1948"/>
      <c r="I1" s="1948"/>
      <c r="J1" s="1948"/>
      <c r="K1" s="1948"/>
      <c r="L1" s="1948"/>
    </row>
    <row r="2" spans="1:12" ht="15.75" customHeight="1">
      <c r="A2" s="1720" t="str">
        <f>CONCATENATE("Area Irrigated by different sources in the district of ",District!A1)</f>
        <v>Area Irrigated by different sources in the district of South 24-Parganas</v>
      </c>
      <c r="B2" s="1720"/>
      <c r="C2" s="1720"/>
      <c r="D2" s="1720"/>
      <c r="E2" s="1720"/>
      <c r="F2" s="1720"/>
      <c r="G2" s="1720"/>
      <c r="H2" s="1720"/>
      <c r="I2" s="1720"/>
      <c r="J2" s="1720"/>
      <c r="K2" s="1720"/>
      <c r="L2" s="1720"/>
    </row>
    <row r="3" spans="1:12" ht="12.75" customHeight="1">
      <c r="B3" s="7"/>
      <c r="C3" s="7"/>
      <c r="D3" s="7"/>
      <c r="E3" s="7"/>
      <c r="F3" s="7"/>
      <c r="G3" s="7"/>
      <c r="H3" s="7"/>
      <c r="I3" s="7"/>
      <c r="J3" s="2032" t="s">
        <v>556</v>
      </c>
      <c r="K3" s="2032"/>
      <c r="L3" s="2032"/>
    </row>
    <row r="4" spans="1:12" ht="14.25" customHeight="1">
      <c r="A4" s="1723" t="s">
        <v>671</v>
      </c>
      <c r="B4" s="1724"/>
      <c r="C4" s="1773" t="s">
        <v>1562</v>
      </c>
      <c r="D4" s="1773"/>
      <c r="E4" s="1773"/>
      <c r="F4" s="1773"/>
      <c r="G4" s="1773"/>
      <c r="H4" s="1773"/>
      <c r="I4" s="1773"/>
      <c r="J4" s="1773"/>
      <c r="K4" s="1773"/>
      <c r="L4" s="2031"/>
    </row>
    <row r="5" spans="1:12" ht="13.5" customHeight="1">
      <c r="A5" s="1762"/>
      <c r="B5" s="1947"/>
      <c r="C5" s="1583" t="s">
        <v>1563</v>
      </c>
      <c r="D5" s="1582" t="s">
        <v>1553</v>
      </c>
      <c r="E5" s="142" t="s">
        <v>1554</v>
      </c>
      <c r="F5" s="1582" t="s">
        <v>1555</v>
      </c>
      <c r="G5" s="142" t="s">
        <v>1556</v>
      </c>
      <c r="H5" s="1582" t="s">
        <v>1557</v>
      </c>
      <c r="I5" s="142" t="s">
        <v>1558</v>
      </c>
      <c r="J5" s="1582" t="s">
        <v>1559</v>
      </c>
      <c r="K5" s="142" t="s">
        <v>1111</v>
      </c>
      <c r="L5" s="511" t="s">
        <v>958</v>
      </c>
    </row>
    <row r="6" spans="1:12" ht="14.25" customHeight="1">
      <c r="A6" s="1716" t="s">
        <v>928</v>
      </c>
      <c r="B6" s="1797"/>
      <c r="C6" s="1586" t="s">
        <v>929</v>
      </c>
      <c r="D6" s="1584" t="s">
        <v>930</v>
      </c>
      <c r="E6" s="199" t="s">
        <v>931</v>
      </c>
      <c r="F6" s="1584" t="s">
        <v>932</v>
      </c>
      <c r="G6" s="199" t="s">
        <v>933</v>
      </c>
      <c r="H6" s="1584" t="s">
        <v>934</v>
      </c>
      <c r="I6" s="199" t="s">
        <v>959</v>
      </c>
      <c r="J6" s="1584" t="s">
        <v>960</v>
      </c>
      <c r="K6" s="123" t="s">
        <v>961</v>
      </c>
      <c r="L6" s="122" t="s">
        <v>962</v>
      </c>
    </row>
    <row r="7" spans="1:12" ht="20.100000000000001" customHeight="1">
      <c r="A7" s="1993" t="s">
        <v>1317</v>
      </c>
      <c r="B7" s="1994"/>
      <c r="C7" s="877">
        <v>44.9</v>
      </c>
      <c r="D7" s="877">
        <v>12.347</v>
      </c>
      <c r="E7" s="1358" t="s">
        <v>857</v>
      </c>
      <c r="F7" s="1552">
        <v>0.16600000000000001</v>
      </c>
      <c r="G7" s="1552" t="s">
        <v>1229</v>
      </c>
      <c r="H7" s="877">
        <v>13.631</v>
      </c>
      <c r="I7" s="877">
        <v>0.91300000000000003</v>
      </c>
      <c r="J7" s="1552" t="s">
        <v>1229</v>
      </c>
      <c r="K7" s="296">
        <v>34.331000000000003</v>
      </c>
      <c r="L7" s="877">
        <f>SUM(C7:K7)</f>
        <v>106.288</v>
      </c>
    </row>
    <row r="8" spans="1:12" ht="20.100000000000001" customHeight="1">
      <c r="A8" s="1984" t="s">
        <v>221</v>
      </c>
      <c r="B8" s="1985"/>
      <c r="C8" s="508">
        <v>44.9</v>
      </c>
      <c r="D8" s="508">
        <v>12.347</v>
      </c>
      <c r="E8" s="875" t="s">
        <v>857</v>
      </c>
      <c r="F8" s="1605">
        <v>0.16600000000000001</v>
      </c>
      <c r="G8" s="702" t="s">
        <v>1229</v>
      </c>
      <c r="H8" s="508">
        <v>13.631</v>
      </c>
      <c r="I8" s="508">
        <v>1.016</v>
      </c>
      <c r="J8" s="702" t="s">
        <v>1229</v>
      </c>
      <c r="K8" s="1605">
        <v>34.331000000000003</v>
      </c>
      <c r="L8" s="508">
        <f>SUM(C8:K8)</f>
        <v>106.39100000000001</v>
      </c>
    </row>
    <row r="9" spans="1:12" ht="20.100000000000001" customHeight="1">
      <c r="A9" s="1984" t="s">
        <v>1301</v>
      </c>
      <c r="B9" s="1985"/>
      <c r="C9" s="508">
        <v>44.9</v>
      </c>
      <c r="D9" s="508">
        <v>12.348000000000001</v>
      </c>
      <c r="E9" s="875" t="s">
        <v>857</v>
      </c>
      <c r="F9" s="392">
        <v>0.16200000000000001</v>
      </c>
      <c r="G9" s="1605" t="s">
        <v>1229</v>
      </c>
      <c r="H9" s="508">
        <v>19.239999999999998</v>
      </c>
      <c r="I9" s="508">
        <v>2.3119999999999998</v>
      </c>
      <c r="J9" s="1605" t="s">
        <v>1229</v>
      </c>
      <c r="K9" s="1605">
        <v>43.213000000000001</v>
      </c>
      <c r="L9" s="508">
        <f>SUM(C9:K9)</f>
        <v>122.17499999999998</v>
      </c>
    </row>
    <row r="10" spans="1:12" ht="20.100000000000001" customHeight="1">
      <c r="A10" s="1984" t="s">
        <v>621</v>
      </c>
      <c r="B10" s="1985"/>
      <c r="C10" s="508">
        <v>44.9</v>
      </c>
      <c r="D10" s="508">
        <v>12.342000000000001</v>
      </c>
      <c r="E10" s="875" t="s">
        <v>857</v>
      </c>
      <c r="F10" s="392">
        <v>0.14399999999999999</v>
      </c>
      <c r="G10" s="1605" t="s">
        <v>1229</v>
      </c>
      <c r="H10" s="508">
        <v>19.07</v>
      </c>
      <c r="I10" s="508">
        <v>2.2400000000000002</v>
      </c>
      <c r="J10" s="1605" t="s">
        <v>1229</v>
      </c>
      <c r="K10" s="1605">
        <v>58.552</v>
      </c>
      <c r="L10" s="508">
        <f>SUM(C10:K10)</f>
        <v>137.24799999999999</v>
      </c>
    </row>
    <row r="11" spans="1:12" ht="20.100000000000001" customHeight="1">
      <c r="A11" s="1986" t="s">
        <v>206</v>
      </c>
      <c r="B11" s="1987"/>
      <c r="C11" s="510">
        <v>44.9</v>
      </c>
      <c r="D11" s="546" t="s">
        <v>857</v>
      </c>
      <c r="E11" s="1283" t="s">
        <v>857</v>
      </c>
      <c r="F11" s="443">
        <v>0.14699999999999999</v>
      </c>
      <c r="G11" s="1606" t="s">
        <v>857</v>
      </c>
      <c r="H11" s="546" t="s">
        <v>857</v>
      </c>
      <c r="I11" s="546">
        <v>2.2400000000000002</v>
      </c>
      <c r="J11" s="1606" t="s">
        <v>857</v>
      </c>
      <c r="K11" s="1606" t="s">
        <v>857</v>
      </c>
      <c r="L11" s="546">
        <f>SUM(C11:K11)</f>
        <v>47.286999999999999</v>
      </c>
    </row>
    <row r="12" spans="1:12" ht="12" customHeight="1">
      <c r="A12" s="1148" t="s">
        <v>768</v>
      </c>
      <c r="B12" s="1009" t="s">
        <v>1568</v>
      </c>
      <c r="C12" s="1009"/>
      <c r="D12" s="1008" t="s">
        <v>1566</v>
      </c>
      <c r="E12" s="1009" t="s">
        <v>1571</v>
      </c>
      <c r="H12" s="1610" t="s">
        <v>610</v>
      </c>
      <c r="I12" s="1009" t="s">
        <v>1867</v>
      </c>
      <c r="J12" s="1154"/>
      <c r="K12" s="1017"/>
      <c r="L12" s="1163"/>
    </row>
    <row r="13" spans="1:12" ht="12" customHeight="1">
      <c r="A13" s="1008" t="s">
        <v>1564</v>
      </c>
      <c r="B13" s="1009" t="s">
        <v>1569</v>
      </c>
      <c r="C13" s="1009"/>
      <c r="D13" s="1008" t="s">
        <v>1567</v>
      </c>
      <c r="E13" s="1009" t="s">
        <v>1572</v>
      </c>
      <c r="H13" s="1009"/>
      <c r="I13" s="1612" t="s">
        <v>487</v>
      </c>
      <c r="J13" s="1617"/>
      <c r="K13" s="1617"/>
      <c r="L13" s="1154"/>
    </row>
    <row r="14" spans="1:12" ht="12" customHeight="1">
      <c r="A14" s="1008" t="s">
        <v>1565</v>
      </c>
      <c r="B14" s="1009" t="s">
        <v>1570</v>
      </c>
      <c r="C14" s="1009"/>
      <c r="D14" s="1008" t="s">
        <v>769</v>
      </c>
      <c r="E14" s="1009" t="s">
        <v>1573</v>
      </c>
      <c r="H14" s="1610" t="s">
        <v>615</v>
      </c>
      <c r="I14" s="1009" t="s">
        <v>1868</v>
      </c>
      <c r="J14" s="1154"/>
      <c r="K14" s="1154"/>
      <c r="L14" s="1154"/>
    </row>
    <row r="15" spans="1:12" ht="12" customHeight="1">
      <c r="C15" s="1009"/>
      <c r="D15" s="1009"/>
      <c r="E15" s="129"/>
      <c r="H15" s="1009"/>
      <c r="I15" s="1009" t="s">
        <v>1869</v>
      </c>
      <c r="J15" s="1154"/>
      <c r="K15" s="1172"/>
      <c r="L15" s="1154"/>
    </row>
    <row r="16" spans="1:12" s="1611" customFormat="1" ht="12" customHeight="1">
      <c r="C16" s="1009"/>
      <c r="D16" s="1009"/>
      <c r="E16" s="129"/>
      <c r="H16" s="1610" t="s">
        <v>616</v>
      </c>
      <c r="I16" s="1009" t="s">
        <v>1868</v>
      </c>
      <c r="J16" s="1154"/>
      <c r="K16" s="1172"/>
      <c r="L16" s="1154"/>
    </row>
    <row r="17" spans="1:13" s="1611" customFormat="1" ht="12" customHeight="1">
      <c r="C17" s="1009"/>
      <c r="D17" s="1009"/>
      <c r="E17" s="129"/>
      <c r="H17" s="1009"/>
      <c r="I17" s="1009" t="s">
        <v>1870</v>
      </c>
      <c r="J17" s="1154"/>
      <c r="K17" s="1172"/>
      <c r="L17" s="1154"/>
    </row>
    <row r="18" spans="1:13" s="1611" customFormat="1" ht="12" customHeight="1">
      <c r="C18" s="1009"/>
      <c r="D18" s="1009"/>
      <c r="E18" s="129"/>
      <c r="K18" s="50"/>
    </row>
    <row r="19" spans="1:13" ht="12" customHeight="1">
      <c r="C19" s="1009"/>
      <c r="D19" s="1009"/>
      <c r="E19" s="129"/>
      <c r="K19" s="50"/>
      <c r="M19" s="598"/>
    </row>
    <row r="20" spans="1:13" ht="12" customHeight="1">
      <c r="A20" s="562"/>
      <c r="B20" s="1928" t="s">
        <v>767</v>
      </c>
      <c r="C20" s="1928"/>
      <c r="D20" s="1928"/>
      <c r="E20" s="1928"/>
      <c r="F20" s="1928"/>
      <c r="G20" s="1928"/>
      <c r="H20" s="1928"/>
      <c r="I20" s="1928"/>
      <c r="J20" s="1928"/>
      <c r="K20" s="1928"/>
      <c r="L20" s="611"/>
      <c r="M20" s="611"/>
    </row>
    <row r="21" spans="1:13" ht="16.5">
      <c r="B21" s="1720" t="str">
        <f>CONCATENATE("Sources of Irrigation in the district of ",District!A1)</f>
        <v>Sources of Irrigation in the district of South 24-Parganas</v>
      </c>
      <c r="C21" s="1720"/>
      <c r="D21" s="1720"/>
      <c r="E21" s="1720"/>
      <c r="F21" s="1720"/>
      <c r="G21" s="1720"/>
      <c r="H21" s="1720"/>
      <c r="I21" s="1720"/>
      <c r="J21" s="1720"/>
      <c r="K21" s="1720"/>
    </row>
    <row r="22" spans="1:13" ht="12.75" customHeight="1">
      <c r="K22" s="107" t="s">
        <v>977</v>
      </c>
    </row>
    <row r="23" spans="1:13" ht="13.5" customHeight="1">
      <c r="B23" s="1732" t="s">
        <v>671</v>
      </c>
      <c r="C23" s="1714"/>
      <c r="D23" s="142" t="s">
        <v>1553</v>
      </c>
      <c r="E23" s="143" t="s">
        <v>1554</v>
      </c>
      <c r="F23" s="142" t="s">
        <v>1555</v>
      </c>
      <c r="G23" s="143" t="s">
        <v>1556</v>
      </c>
      <c r="H23" s="142" t="s">
        <v>1557</v>
      </c>
      <c r="I23" s="143" t="s">
        <v>1558</v>
      </c>
      <c r="J23" s="142" t="s">
        <v>1559</v>
      </c>
      <c r="K23" s="341" t="s">
        <v>1111</v>
      </c>
    </row>
    <row r="24" spans="1:13" ht="13.5" customHeight="1">
      <c r="B24" s="2033" t="s">
        <v>928</v>
      </c>
      <c r="C24" s="2034"/>
      <c r="D24" s="202" t="s">
        <v>929</v>
      </c>
      <c r="E24" s="203" t="s">
        <v>930</v>
      </c>
      <c r="F24" s="202" t="s">
        <v>931</v>
      </c>
      <c r="G24" s="203" t="s">
        <v>932</v>
      </c>
      <c r="H24" s="202" t="s">
        <v>933</v>
      </c>
      <c r="I24" s="203" t="s">
        <v>934</v>
      </c>
      <c r="J24" s="202" t="s">
        <v>959</v>
      </c>
      <c r="K24" s="450" t="s">
        <v>960</v>
      </c>
    </row>
    <row r="25" spans="1:13" ht="17.25" customHeight="1">
      <c r="B25" s="1993" t="s">
        <v>1317</v>
      </c>
      <c r="C25" s="1994"/>
      <c r="D25" s="77">
        <v>59653</v>
      </c>
      <c r="E25" s="39" t="s">
        <v>857</v>
      </c>
      <c r="F25" s="77">
        <v>24</v>
      </c>
      <c r="G25" s="8" t="s">
        <v>1229</v>
      </c>
      <c r="H25" s="77">
        <v>9178</v>
      </c>
      <c r="I25" s="39">
        <v>58</v>
      </c>
      <c r="J25" s="68" t="s">
        <v>1229</v>
      </c>
      <c r="K25" s="374">
        <v>25110</v>
      </c>
    </row>
    <row r="26" spans="1:13" ht="17.25" customHeight="1">
      <c r="B26" s="1984" t="s">
        <v>221</v>
      </c>
      <c r="C26" s="1985"/>
      <c r="D26" s="77">
        <v>59653</v>
      </c>
      <c r="E26" s="28" t="s">
        <v>857</v>
      </c>
      <c r="F26" s="77">
        <v>24</v>
      </c>
      <c r="G26" s="8" t="s">
        <v>1229</v>
      </c>
      <c r="H26" s="77">
        <v>9178</v>
      </c>
      <c r="I26" s="39">
        <v>58</v>
      </c>
      <c r="J26" s="68" t="s">
        <v>1229</v>
      </c>
      <c r="K26" s="374">
        <v>25110</v>
      </c>
    </row>
    <row r="27" spans="1:13" ht="17.25" customHeight="1">
      <c r="B27" s="1984" t="s">
        <v>1301</v>
      </c>
      <c r="C27" s="1985"/>
      <c r="D27" s="77">
        <v>59653</v>
      </c>
      <c r="E27" s="28" t="s">
        <v>857</v>
      </c>
      <c r="F27" s="77">
        <v>24</v>
      </c>
      <c r="G27" s="8" t="s">
        <v>1229</v>
      </c>
      <c r="H27" s="77">
        <v>9422</v>
      </c>
      <c r="I27" s="39">
        <v>58</v>
      </c>
      <c r="J27" s="68" t="s">
        <v>1229</v>
      </c>
      <c r="K27" s="374">
        <v>25110</v>
      </c>
    </row>
    <row r="28" spans="1:13" ht="17.25" customHeight="1">
      <c r="B28" s="1984" t="s">
        <v>621</v>
      </c>
      <c r="C28" s="1985"/>
      <c r="D28" s="77">
        <v>59634</v>
      </c>
      <c r="E28" s="28" t="s">
        <v>857</v>
      </c>
      <c r="F28" s="77">
        <v>23</v>
      </c>
      <c r="G28" s="8" t="s">
        <v>1229</v>
      </c>
      <c r="H28" s="77">
        <v>9555</v>
      </c>
      <c r="I28" s="39">
        <v>58</v>
      </c>
      <c r="J28" s="68" t="s">
        <v>1229</v>
      </c>
      <c r="K28" s="374">
        <v>25211</v>
      </c>
    </row>
    <row r="29" spans="1:13" ht="17.25" customHeight="1">
      <c r="B29" s="1986" t="s">
        <v>206</v>
      </c>
      <c r="C29" s="1987"/>
      <c r="D29" s="1662" t="s">
        <v>857</v>
      </c>
      <c r="E29" s="37" t="s">
        <v>857</v>
      </c>
      <c r="F29" s="78">
        <v>23</v>
      </c>
      <c r="G29" s="4" t="s">
        <v>1229</v>
      </c>
      <c r="H29" s="1568" t="s">
        <v>857</v>
      </c>
      <c r="I29" s="78">
        <v>58</v>
      </c>
      <c r="J29" s="69" t="s">
        <v>857</v>
      </c>
      <c r="K29" s="443" t="s">
        <v>857</v>
      </c>
    </row>
    <row r="30" spans="1:13" ht="12" customHeight="1">
      <c r="B30" s="1148" t="s">
        <v>768</v>
      </c>
      <c r="C30" s="1009" t="s">
        <v>1568</v>
      </c>
      <c r="D30" s="1009"/>
      <c r="E30" s="1009"/>
      <c r="F30" s="1009"/>
      <c r="G30" s="1009"/>
      <c r="H30" s="1008" t="s">
        <v>610</v>
      </c>
      <c r="I30" s="1009" t="s">
        <v>1867</v>
      </c>
      <c r="J30" s="1009"/>
      <c r="K30" s="1009"/>
    </row>
    <row r="31" spans="1:13" ht="12" customHeight="1">
      <c r="B31" s="1008" t="s">
        <v>1564</v>
      </c>
      <c r="C31" s="1009" t="s">
        <v>1569</v>
      </c>
      <c r="D31" s="1009"/>
      <c r="E31" s="1009"/>
      <c r="F31" s="1009"/>
      <c r="G31" s="1009"/>
      <c r="H31" s="1009"/>
      <c r="I31" s="1148" t="s">
        <v>487</v>
      </c>
      <c r="J31" s="1009"/>
      <c r="K31" s="1009"/>
    </row>
    <row r="32" spans="1:13" ht="12" customHeight="1">
      <c r="B32" s="1008" t="s">
        <v>1565</v>
      </c>
      <c r="C32" s="1009" t="s">
        <v>1570</v>
      </c>
      <c r="D32" s="1009"/>
      <c r="E32" s="1009"/>
      <c r="F32" s="1009"/>
      <c r="G32" s="1009"/>
      <c r="H32" s="1008" t="s">
        <v>615</v>
      </c>
      <c r="I32" s="1009" t="s">
        <v>1868</v>
      </c>
      <c r="J32" s="1009"/>
      <c r="K32" s="1009"/>
    </row>
    <row r="33" spans="2:12" ht="12" customHeight="1">
      <c r="B33" s="1008" t="s">
        <v>1566</v>
      </c>
      <c r="C33" s="1009" t="s">
        <v>1571</v>
      </c>
      <c r="D33" s="1009"/>
      <c r="E33" s="1009"/>
      <c r="F33" s="1009"/>
      <c r="G33" s="1009"/>
      <c r="H33" s="1009"/>
      <c r="I33" s="1009" t="s">
        <v>1869</v>
      </c>
      <c r="J33" s="1009"/>
      <c r="K33" s="1009"/>
    </row>
    <row r="34" spans="2:12" ht="12" customHeight="1">
      <c r="B34" s="1008" t="s">
        <v>1567</v>
      </c>
      <c r="C34" s="1009" t="s">
        <v>1572</v>
      </c>
      <c r="D34" s="1009"/>
      <c r="E34" s="1009"/>
      <c r="F34" s="1009"/>
      <c r="G34" s="1009"/>
      <c r="H34" s="1610" t="s">
        <v>616</v>
      </c>
      <c r="I34" s="1009" t="s">
        <v>1868</v>
      </c>
      <c r="J34" s="1009"/>
      <c r="K34" s="1009"/>
    </row>
    <row r="35" spans="2:12" ht="12" customHeight="1">
      <c r="B35" s="1008" t="s">
        <v>769</v>
      </c>
      <c r="C35" s="1009" t="s">
        <v>1573</v>
      </c>
      <c r="D35" s="1009"/>
      <c r="E35" s="1009"/>
      <c r="F35" s="1009"/>
      <c r="G35" s="1009"/>
      <c r="H35" s="1009"/>
      <c r="I35" s="1009" t="s">
        <v>1870</v>
      </c>
      <c r="J35" s="1009"/>
      <c r="K35" s="1009"/>
      <c r="L35" s="98"/>
    </row>
  </sheetData>
  <mergeCells count="20">
    <mergeCell ref="B29:C29"/>
    <mergeCell ref="B20:K20"/>
    <mergeCell ref="B25:C25"/>
    <mergeCell ref="B28:C28"/>
    <mergeCell ref="A7:B7"/>
    <mergeCell ref="A8:B8"/>
    <mergeCell ref="A9:B9"/>
    <mergeCell ref="A10:B10"/>
    <mergeCell ref="B21:K21"/>
    <mergeCell ref="B23:C23"/>
    <mergeCell ref="B24:C24"/>
    <mergeCell ref="B27:C27"/>
    <mergeCell ref="B26:C26"/>
    <mergeCell ref="A1:L1"/>
    <mergeCell ref="A11:B11"/>
    <mergeCell ref="A2:L2"/>
    <mergeCell ref="C4:L4"/>
    <mergeCell ref="A4:B5"/>
    <mergeCell ref="J3:L3"/>
    <mergeCell ref="A6:B6"/>
  </mergeCells>
  <phoneticPr fontId="0" type="noConversion"/>
  <conditionalFormatting sqref="A7:A8 C7:L10 A9:B14 L11:L65539 E11:F11 C11:D24 E15:F24 E12:E14 A1:L6 A20:A65539 B27:C65539 M1:M1048576 Z1:IV1048576 N1:Y7 N12:N65539 Q12:Y65539 O12:P23 B20:B26 O30:P65539 D25:K65539 G11:K24">
    <cfRule type="cellIs" dxfId="13" priority="1" stopIfTrue="1" operator="equal">
      <formula>".."</formula>
    </cfRule>
  </conditionalFormatting>
  <printOptions horizontalCentered="1"/>
  <pageMargins left="0.1" right="0.1" top="0.5" bottom="0.1" header="0.5" footer="0.1"/>
  <pageSetup paperSize="9" orientation="landscape" blackAndWhite="1" r:id="rId1"/>
  <headerFooter alignWithMargins="0"/>
</worksheet>
</file>

<file path=xl/worksheets/sheet51.xml><?xml version="1.0" encoding="utf-8"?>
<worksheet xmlns="http://schemas.openxmlformats.org/spreadsheetml/2006/main" xmlns:r="http://schemas.openxmlformats.org/officeDocument/2006/relationships">
  <dimension ref="A1:K45"/>
  <sheetViews>
    <sheetView topLeftCell="A19" workbookViewId="0">
      <selection activeCell="J11" sqref="J11"/>
    </sheetView>
  </sheetViews>
  <sheetFormatPr defaultRowHeight="12.75"/>
  <cols>
    <col min="1" max="1" width="13.28515625" customWidth="1"/>
    <col min="2" max="2" width="7.85546875" customWidth="1"/>
    <col min="3" max="3" width="8.28515625" customWidth="1"/>
    <col min="4" max="4" width="7.5703125" customWidth="1"/>
    <col min="5" max="5" width="8.28515625" customWidth="1"/>
    <col min="6" max="6" width="7.5703125" customWidth="1"/>
    <col min="7" max="7" width="8.28515625" customWidth="1"/>
    <col min="8" max="8" width="7.5703125" customWidth="1"/>
    <col min="9" max="9" width="7.7109375" customWidth="1"/>
    <col min="10" max="10" width="12.28515625" customWidth="1"/>
  </cols>
  <sheetData>
    <row r="1" spans="1:11" ht="12.75" customHeight="1">
      <c r="A1" s="1708" t="s">
        <v>1501</v>
      </c>
      <c r="B1" s="1708"/>
      <c r="C1" s="1708"/>
      <c r="D1" s="1708"/>
      <c r="E1" s="1708"/>
      <c r="F1" s="1708"/>
      <c r="G1" s="1708"/>
      <c r="H1" s="1708"/>
      <c r="I1" s="1708"/>
      <c r="J1" s="1708"/>
    </row>
    <row r="2" spans="1:11" ht="16.5" customHeight="1">
      <c r="A2" s="2056" t="str">
        <f>CONCATENATE("Fertiliser Consumed in the district of ",District!A1)</f>
        <v>Fertiliser Consumed in the district of South 24-Parganas</v>
      </c>
      <c r="B2" s="2056"/>
      <c r="C2" s="2056"/>
      <c r="D2" s="2056"/>
      <c r="E2" s="2056"/>
      <c r="F2" s="2056"/>
      <c r="G2" s="2056"/>
      <c r="H2" s="2056"/>
      <c r="I2" s="2056"/>
      <c r="J2" s="2056"/>
    </row>
    <row r="3" spans="1:11" ht="12" customHeight="1">
      <c r="E3" s="7"/>
      <c r="F3" s="7"/>
      <c r="H3" s="7"/>
      <c r="I3" s="2032" t="s">
        <v>557</v>
      </c>
      <c r="J3" s="2032"/>
    </row>
    <row r="4" spans="1:11" ht="19.5" customHeight="1">
      <c r="A4" s="1723" t="s">
        <v>671</v>
      </c>
      <c r="B4" s="1724"/>
      <c r="C4" s="1723" t="s">
        <v>739</v>
      </c>
      <c r="D4" s="1724"/>
      <c r="E4" s="1723" t="s">
        <v>740</v>
      </c>
      <c r="F4" s="1724"/>
      <c r="G4" s="1723" t="s">
        <v>741</v>
      </c>
      <c r="H4" s="1724"/>
      <c r="I4" s="1723" t="s">
        <v>958</v>
      </c>
      <c r="J4" s="1724"/>
    </row>
    <row r="5" spans="1:11" ht="19.5" customHeight="1">
      <c r="A5" s="2054" t="s">
        <v>928</v>
      </c>
      <c r="B5" s="2055"/>
      <c r="C5" s="2054" t="s">
        <v>929</v>
      </c>
      <c r="D5" s="2055"/>
      <c r="E5" s="2054" t="s">
        <v>930</v>
      </c>
      <c r="F5" s="2055"/>
      <c r="G5" s="2054" t="s">
        <v>931</v>
      </c>
      <c r="H5" s="2055"/>
      <c r="I5" s="2054" t="s">
        <v>932</v>
      </c>
      <c r="J5" s="2055"/>
    </row>
    <row r="6" spans="1:11" ht="19.5" customHeight="1">
      <c r="A6" s="2052" t="s">
        <v>1317</v>
      </c>
      <c r="B6" s="2053"/>
      <c r="C6" s="2050">
        <v>28</v>
      </c>
      <c r="D6" s="2051"/>
      <c r="E6" s="2050">
        <v>19.2</v>
      </c>
      <c r="F6" s="2051"/>
      <c r="G6" s="2050">
        <v>15.1</v>
      </c>
      <c r="H6" s="2051"/>
      <c r="I6" s="2050">
        <f>SUM(C6:G6)</f>
        <v>62.300000000000004</v>
      </c>
      <c r="J6" s="2051"/>
    </row>
    <row r="7" spans="1:11" ht="19.5" customHeight="1">
      <c r="A7" s="1709" t="s">
        <v>221</v>
      </c>
      <c r="B7" s="2041"/>
      <c r="C7" s="2042">
        <v>28.8</v>
      </c>
      <c r="D7" s="2043"/>
      <c r="E7" s="2042">
        <v>22.4</v>
      </c>
      <c r="F7" s="2043"/>
      <c r="G7" s="2042">
        <v>13.7</v>
      </c>
      <c r="H7" s="2043"/>
      <c r="I7" s="2042">
        <f>SUM(C7:G7)</f>
        <v>64.900000000000006</v>
      </c>
      <c r="J7" s="2043"/>
    </row>
    <row r="8" spans="1:11" ht="19.5" customHeight="1">
      <c r="A8" s="1709" t="s">
        <v>1301</v>
      </c>
      <c r="B8" s="2041"/>
      <c r="C8" s="2042">
        <v>43.3</v>
      </c>
      <c r="D8" s="2043"/>
      <c r="E8" s="2042">
        <v>21.8</v>
      </c>
      <c r="F8" s="2043"/>
      <c r="G8" s="2042">
        <v>13.2</v>
      </c>
      <c r="H8" s="2043"/>
      <c r="I8" s="2042">
        <f>SUM(C8:G8)</f>
        <v>78.3</v>
      </c>
      <c r="J8" s="2043"/>
    </row>
    <row r="9" spans="1:11" ht="19.5" customHeight="1">
      <c r="A9" s="1709" t="s">
        <v>621</v>
      </c>
      <c r="B9" s="2041"/>
      <c r="C9" s="2042">
        <v>28.5</v>
      </c>
      <c r="D9" s="2043"/>
      <c r="E9" s="2042">
        <v>16.5</v>
      </c>
      <c r="F9" s="2043"/>
      <c r="G9" s="2042">
        <v>6.9</v>
      </c>
      <c r="H9" s="2043"/>
      <c r="I9" s="2042">
        <f>SUM(C9:G9)</f>
        <v>51.9</v>
      </c>
      <c r="J9" s="2043"/>
    </row>
    <row r="10" spans="1:11" ht="19.5" customHeight="1">
      <c r="A10" s="2035" t="s">
        <v>206</v>
      </c>
      <c r="B10" s="2036"/>
      <c r="C10" s="2048">
        <v>25.1</v>
      </c>
      <c r="D10" s="2049"/>
      <c r="E10" s="2048">
        <v>11.4</v>
      </c>
      <c r="F10" s="2049"/>
      <c r="G10" s="2048">
        <v>9.3000000000000007</v>
      </c>
      <c r="H10" s="2049"/>
      <c r="I10" s="2048">
        <f>SUM(C10:G10)</f>
        <v>45.8</v>
      </c>
      <c r="J10" s="2049"/>
    </row>
    <row r="11" spans="1:11">
      <c r="D11" s="280"/>
      <c r="F11" s="94"/>
      <c r="J11" s="1151" t="s">
        <v>690</v>
      </c>
    </row>
    <row r="12" spans="1:11">
      <c r="D12" s="280"/>
      <c r="F12" s="94"/>
      <c r="J12" s="113"/>
    </row>
    <row r="13" spans="1:11">
      <c r="B13" s="98"/>
      <c r="C13" s="109"/>
      <c r="D13" s="109"/>
    </row>
    <row r="14" spans="1:11">
      <c r="A14" s="1708" t="s">
        <v>771</v>
      </c>
      <c r="B14" s="1708"/>
      <c r="C14" s="1708"/>
      <c r="D14" s="1708"/>
      <c r="E14" s="1708"/>
      <c r="F14" s="1708"/>
      <c r="G14" s="1708"/>
      <c r="H14" s="1708"/>
      <c r="I14" s="1708"/>
      <c r="J14" s="1708"/>
    </row>
    <row r="15" spans="1:11" ht="35.25" customHeight="1">
      <c r="A15" s="2047" t="str">
        <f>CONCATENATE("Warehousing and Cold Storage Facilities available to Cultivators 
in the district of ",District!A1)</f>
        <v>Warehousing and Cold Storage Facilities available to Cultivators 
in the district of South 24-Parganas</v>
      </c>
      <c r="B15" s="2047"/>
      <c r="C15" s="2047"/>
      <c r="D15" s="2047"/>
      <c r="E15" s="2047"/>
      <c r="F15" s="2047"/>
      <c r="G15" s="2047"/>
      <c r="H15" s="2047"/>
      <c r="I15" s="2047"/>
      <c r="J15" s="2047"/>
    </row>
    <row r="16" spans="1:11" ht="19.5" customHeight="1">
      <c r="A16" s="2045" t="s">
        <v>671</v>
      </c>
      <c r="B16" s="1732" t="s">
        <v>401</v>
      </c>
      <c r="C16" s="1713"/>
      <c r="D16" s="1713"/>
      <c r="E16" s="1714"/>
      <c r="F16" s="1732" t="s">
        <v>402</v>
      </c>
      <c r="G16" s="1713"/>
      <c r="H16" s="1713"/>
      <c r="I16" s="1714"/>
      <c r="J16" s="1737" t="s">
        <v>1578</v>
      </c>
      <c r="K16" s="7"/>
    </row>
    <row r="17" spans="1:11" ht="19.5" customHeight="1">
      <c r="A17" s="2046"/>
      <c r="B17" s="1941" t="s">
        <v>979</v>
      </c>
      <c r="C17" s="1927"/>
      <c r="D17" s="1713" t="s">
        <v>1577</v>
      </c>
      <c r="E17" s="1714"/>
      <c r="F17" s="1941" t="s">
        <v>979</v>
      </c>
      <c r="G17" s="1927"/>
      <c r="H17" s="1741" t="s">
        <v>1577</v>
      </c>
      <c r="I17" s="1726"/>
      <c r="J17" s="1836"/>
      <c r="K17" s="7"/>
    </row>
    <row r="18" spans="1:11" ht="19.5" customHeight="1">
      <c r="A18" s="201" t="s">
        <v>928</v>
      </c>
      <c r="B18" s="2033" t="s">
        <v>929</v>
      </c>
      <c r="C18" s="2034"/>
      <c r="D18" s="2044" t="s">
        <v>930</v>
      </c>
      <c r="E18" s="2034"/>
      <c r="F18" s="2033" t="s">
        <v>931</v>
      </c>
      <c r="G18" s="2034"/>
      <c r="H18" s="2044" t="s">
        <v>932</v>
      </c>
      <c r="I18" s="2034"/>
      <c r="J18" s="1041" t="s">
        <v>933</v>
      </c>
      <c r="K18" s="7"/>
    </row>
    <row r="19" spans="1:11" ht="19.5" customHeight="1">
      <c r="A19" s="633" t="s">
        <v>1317</v>
      </c>
      <c r="B19" s="2040">
        <v>3</v>
      </c>
      <c r="C19" s="1963"/>
      <c r="D19" s="2040">
        <v>1850</v>
      </c>
      <c r="E19" s="1963"/>
      <c r="F19" s="2040">
        <v>3</v>
      </c>
      <c r="G19" s="1963"/>
      <c r="H19" s="2040">
        <v>6069</v>
      </c>
      <c r="I19" s="1963"/>
      <c r="J19" s="606">
        <v>2150</v>
      </c>
      <c r="K19" s="7"/>
    </row>
    <row r="20" spans="1:11" ht="19.5" customHeight="1">
      <c r="A20" s="613" t="s">
        <v>221</v>
      </c>
      <c r="B20" s="1791">
        <v>3</v>
      </c>
      <c r="C20" s="2039"/>
      <c r="D20" s="1791">
        <v>1850</v>
      </c>
      <c r="E20" s="2039"/>
      <c r="F20" s="1791">
        <v>3</v>
      </c>
      <c r="G20" s="2039"/>
      <c r="H20" s="1791">
        <v>6069</v>
      </c>
      <c r="I20" s="2039"/>
      <c r="J20" s="884">
        <v>2300</v>
      </c>
      <c r="K20" s="7"/>
    </row>
    <row r="21" spans="1:11" ht="19.5" customHeight="1">
      <c r="A21" s="613" t="s">
        <v>1301</v>
      </c>
      <c r="B21" s="1791">
        <v>3</v>
      </c>
      <c r="C21" s="2039"/>
      <c r="D21" s="1791">
        <v>1850</v>
      </c>
      <c r="E21" s="2039"/>
      <c r="F21" s="1791">
        <v>3</v>
      </c>
      <c r="G21" s="2039"/>
      <c r="H21" s="1791">
        <v>6069</v>
      </c>
      <c r="I21" s="2039"/>
      <c r="J21" s="884">
        <v>2350</v>
      </c>
      <c r="K21" s="7"/>
    </row>
    <row r="22" spans="1:11" ht="19.5" customHeight="1">
      <c r="A22" s="613" t="s">
        <v>621</v>
      </c>
      <c r="B22" s="1791">
        <v>3</v>
      </c>
      <c r="C22" s="2039"/>
      <c r="D22" s="1792">
        <v>1850</v>
      </c>
      <c r="E22" s="1792"/>
      <c r="F22" s="1791">
        <v>2</v>
      </c>
      <c r="G22" s="2039"/>
      <c r="H22" s="1792">
        <v>1219</v>
      </c>
      <c r="I22" s="1792"/>
      <c r="J22" s="884">
        <v>750</v>
      </c>
      <c r="K22" s="7"/>
    </row>
    <row r="23" spans="1:11" ht="19.5" customHeight="1">
      <c r="A23" s="612" t="s">
        <v>206</v>
      </c>
      <c r="B23" s="1806">
        <v>3</v>
      </c>
      <c r="C23" s="1964"/>
      <c r="D23" s="1807">
        <v>1850</v>
      </c>
      <c r="E23" s="1807"/>
      <c r="F23" s="1806">
        <v>2</v>
      </c>
      <c r="G23" s="1964"/>
      <c r="H23" s="1807">
        <v>1219</v>
      </c>
      <c r="I23" s="1807"/>
      <c r="J23" s="1036">
        <v>800</v>
      </c>
      <c r="K23" s="7"/>
    </row>
    <row r="24" spans="1:11">
      <c r="A24" s="282"/>
      <c r="B24" s="282"/>
      <c r="C24" s="282"/>
      <c r="D24" s="282"/>
      <c r="E24" s="282"/>
      <c r="J24" s="1147" t="s">
        <v>1518</v>
      </c>
    </row>
    <row r="25" spans="1:11">
      <c r="A25" s="282"/>
      <c r="B25" s="282"/>
      <c r="C25" s="282"/>
      <c r="D25" s="282"/>
      <c r="E25" s="282"/>
    </row>
    <row r="27" spans="1:11">
      <c r="A27" s="1708" t="s">
        <v>770</v>
      </c>
      <c r="B27" s="1708"/>
      <c r="C27" s="1708"/>
      <c r="D27" s="1708"/>
      <c r="E27" s="1708"/>
      <c r="F27" s="1708"/>
      <c r="G27" s="1708"/>
      <c r="H27" s="1708"/>
      <c r="I27" s="1708"/>
      <c r="J27" s="1708"/>
    </row>
    <row r="28" spans="1:11" ht="33.75" customHeight="1">
      <c r="A28" s="1730" t="str">
        <f>CONCATENATE("Estimated Production of Milk (Cow, Buffalo &amp; Goat) and 
Egg (Hen &amp; Duck) in the district of ",District!A1, " and West Bengal")</f>
        <v>Estimated Production of Milk (Cow, Buffalo &amp; Goat) and 
Egg (Hen &amp; Duck) in the district of South 24-Parganas and West Bengal</v>
      </c>
      <c r="B28" s="1730"/>
      <c r="C28" s="1730"/>
      <c r="D28" s="1730"/>
      <c r="E28" s="1730"/>
      <c r="F28" s="1730"/>
      <c r="G28" s="1730"/>
      <c r="H28" s="1730"/>
      <c r="I28" s="1730"/>
      <c r="J28" s="1730"/>
    </row>
    <row r="29" spans="1:11">
      <c r="B29" s="21"/>
      <c r="C29" s="21"/>
      <c r="D29" s="21"/>
    </row>
    <row r="30" spans="1:11" ht="19.5" customHeight="1">
      <c r="A30" s="1723" t="s">
        <v>671</v>
      </c>
      <c r="B30" s="1724"/>
      <c r="C30" s="1713" t="s">
        <v>560</v>
      </c>
      <c r="D30" s="1713"/>
      <c r="E30" s="1713"/>
      <c r="F30" s="1714"/>
      <c r="G30" s="1713" t="s">
        <v>561</v>
      </c>
      <c r="H30" s="1713"/>
      <c r="I30" s="1713"/>
      <c r="J30" s="1714"/>
      <c r="K30" s="16"/>
    </row>
    <row r="31" spans="1:11" ht="19.5" customHeight="1">
      <c r="A31" s="1762"/>
      <c r="B31" s="1947"/>
      <c r="C31" s="1890" t="s">
        <v>1452</v>
      </c>
      <c r="D31" s="1724"/>
      <c r="E31" s="1890" t="s">
        <v>1453</v>
      </c>
      <c r="F31" s="1890"/>
      <c r="G31" s="1723" t="s">
        <v>1452</v>
      </c>
      <c r="H31" s="1890"/>
      <c r="I31" s="1723" t="s">
        <v>1453</v>
      </c>
      <c r="J31" s="1724"/>
    </row>
    <row r="32" spans="1:11" ht="19.5" customHeight="1">
      <c r="A32" s="1716" t="s">
        <v>928</v>
      </c>
      <c r="B32" s="1797"/>
      <c r="C32" s="1717" t="s">
        <v>929</v>
      </c>
      <c r="D32" s="1797"/>
      <c r="E32" s="1717" t="s">
        <v>930</v>
      </c>
      <c r="F32" s="1717"/>
      <c r="G32" s="1716" t="s">
        <v>931</v>
      </c>
      <c r="H32" s="1717"/>
      <c r="I32" s="1716" t="s">
        <v>932</v>
      </c>
      <c r="J32" s="1797"/>
    </row>
    <row r="33" spans="1:10" ht="19.5" customHeight="1">
      <c r="A33" s="2052" t="s">
        <v>1317</v>
      </c>
      <c r="B33" s="2053"/>
      <c r="C33" s="2040">
        <v>177</v>
      </c>
      <c r="D33" s="1963"/>
      <c r="E33" s="2040">
        <v>4300</v>
      </c>
      <c r="F33" s="1963"/>
      <c r="G33" s="2060">
        <v>458213</v>
      </c>
      <c r="H33" s="2061"/>
      <c r="I33" s="2040">
        <v>3697839</v>
      </c>
      <c r="J33" s="1963"/>
    </row>
    <row r="34" spans="1:10" ht="19.5" customHeight="1">
      <c r="A34" s="1709" t="s">
        <v>221</v>
      </c>
      <c r="B34" s="2041"/>
      <c r="C34" s="1791">
        <v>180</v>
      </c>
      <c r="D34" s="2039"/>
      <c r="E34" s="1791">
        <v>4472</v>
      </c>
      <c r="F34" s="2039"/>
      <c r="G34" s="2057">
        <v>499937</v>
      </c>
      <c r="H34" s="2058"/>
      <c r="I34" s="1791">
        <v>4000869</v>
      </c>
      <c r="J34" s="2039"/>
    </row>
    <row r="35" spans="1:10" ht="19.5" customHeight="1">
      <c r="A35" s="1709" t="s">
        <v>1301</v>
      </c>
      <c r="B35" s="2041"/>
      <c r="C35" s="1791">
        <v>183</v>
      </c>
      <c r="D35" s="2039"/>
      <c r="E35" s="1791">
        <v>4660</v>
      </c>
      <c r="F35" s="2039"/>
      <c r="G35" s="2057">
        <v>548057</v>
      </c>
      <c r="H35" s="2058"/>
      <c r="I35" s="1791">
        <v>4337272</v>
      </c>
      <c r="J35" s="2039"/>
    </row>
    <row r="36" spans="1:10" ht="19.5" customHeight="1">
      <c r="A36" s="1709" t="s">
        <v>621</v>
      </c>
      <c r="B36" s="2041"/>
      <c r="C36" s="1792">
        <v>187</v>
      </c>
      <c r="D36" s="2039"/>
      <c r="E36" s="1792">
        <v>4860</v>
      </c>
      <c r="F36" s="1792"/>
      <c r="G36" s="2057">
        <v>602522</v>
      </c>
      <c r="H36" s="2059"/>
      <c r="I36" s="1791">
        <v>4707268</v>
      </c>
      <c r="J36" s="2039"/>
    </row>
    <row r="37" spans="1:10" ht="19.5" customHeight="1">
      <c r="A37" s="2035" t="s">
        <v>206</v>
      </c>
      <c r="B37" s="2036"/>
      <c r="C37" s="1806">
        <v>183</v>
      </c>
      <c r="D37" s="1964"/>
      <c r="E37" s="1806">
        <v>4906</v>
      </c>
      <c r="F37" s="1964"/>
      <c r="G37" s="2037">
        <v>615923</v>
      </c>
      <c r="H37" s="2038"/>
      <c r="I37" s="1806">
        <v>4746013</v>
      </c>
      <c r="J37" s="1964"/>
    </row>
    <row r="38" spans="1:10" ht="12" customHeight="1">
      <c r="A38" s="139"/>
      <c r="B38" s="281"/>
      <c r="C38" s="14"/>
      <c r="D38" s="14"/>
      <c r="J38" s="1008" t="s">
        <v>1435</v>
      </c>
    </row>
    <row r="39" spans="1:10">
      <c r="C39" s="115"/>
      <c r="D39" s="115"/>
    </row>
    <row r="40" spans="1:10">
      <c r="B40" s="115"/>
      <c r="C40" s="115"/>
      <c r="D40" s="115"/>
    </row>
    <row r="41" spans="1:10">
      <c r="C41" s="757"/>
      <c r="D41" s="758"/>
      <c r="E41" s="757"/>
      <c r="F41" s="978"/>
      <c r="G41" s="978"/>
    </row>
    <row r="45" spans="1:10">
      <c r="A45" s="1"/>
      <c r="B45" s="1"/>
      <c r="C45" s="1"/>
      <c r="D45" s="1"/>
      <c r="E45" s="1"/>
      <c r="F45" s="1"/>
      <c r="G45" s="1"/>
      <c r="H45" s="1"/>
      <c r="I45" s="1"/>
      <c r="J45" s="1"/>
    </row>
  </sheetData>
  <mergeCells count="111">
    <mergeCell ref="A35:B35"/>
    <mergeCell ref="A33:B33"/>
    <mergeCell ref="A34:B34"/>
    <mergeCell ref="H22:I22"/>
    <mergeCell ref="G35:H35"/>
    <mergeCell ref="E35:F35"/>
    <mergeCell ref="G30:J30"/>
    <mergeCell ref="G36:H36"/>
    <mergeCell ref="E33:F33"/>
    <mergeCell ref="D22:E22"/>
    <mergeCell ref="F22:G22"/>
    <mergeCell ref="H23:I23"/>
    <mergeCell ref="E34:F34"/>
    <mergeCell ref="G32:H32"/>
    <mergeCell ref="G33:H33"/>
    <mergeCell ref="D21:E21"/>
    <mergeCell ref="F21:G21"/>
    <mergeCell ref="G34:H34"/>
    <mergeCell ref="C33:D33"/>
    <mergeCell ref="E32:F32"/>
    <mergeCell ref="I5:J5"/>
    <mergeCell ref="I3:J3"/>
    <mergeCell ref="G4:H4"/>
    <mergeCell ref="G5:H5"/>
    <mergeCell ref="I33:J33"/>
    <mergeCell ref="I34:J34"/>
    <mergeCell ref="B16:E16"/>
    <mergeCell ref="B17:C17"/>
    <mergeCell ref="H19:I19"/>
    <mergeCell ref="A32:B32"/>
    <mergeCell ref="A30:B31"/>
    <mergeCell ref="G10:H10"/>
    <mergeCell ref="I10:J10"/>
    <mergeCell ref="G7:H7"/>
    <mergeCell ref="G8:H8"/>
    <mergeCell ref="E7:F7"/>
    <mergeCell ref="I31:J31"/>
    <mergeCell ref="I32:J32"/>
    <mergeCell ref="G31:H31"/>
    <mergeCell ref="A1:J1"/>
    <mergeCell ref="I9:J9"/>
    <mergeCell ref="E8:F8"/>
    <mergeCell ref="C9:D9"/>
    <mergeCell ref="A7:B7"/>
    <mergeCell ref="A8:B8"/>
    <mergeCell ref="A9:B9"/>
    <mergeCell ref="E9:F9"/>
    <mergeCell ref="I6:J6"/>
    <mergeCell ref="A6:B6"/>
    <mergeCell ref="E6:F6"/>
    <mergeCell ref="G6:H6"/>
    <mergeCell ref="E4:F4"/>
    <mergeCell ref="E5:F5"/>
    <mergeCell ref="C6:D6"/>
    <mergeCell ref="A2:J2"/>
    <mergeCell ref="G9:H9"/>
    <mergeCell ref="C7:D7"/>
    <mergeCell ref="C8:D8"/>
    <mergeCell ref="A4:B4"/>
    <mergeCell ref="A5:B5"/>
    <mergeCell ref="C4:D4"/>
    <mergeCell ref="C5:D5"/>
    <mergeCell ref="I4:J4"/>
    <mergeCell ref="F16:I16"/>
    <mergeCell ref="I7:J7"/>
    <mergeCell ref="I8:J8"/>
    <mergeCell ref="A27:J27"/>
    <mergeCell ref="E31:F31"/>
    <mergeCell ref="A28:J28"/>
    <mergeCell ref="H17:I17"/>
    <mergeCell ref="H18:I18"/>
    <mergeCell ref="B21:C21"/>
    <mergeCell ref="B18:C18"/>
    <mergeCell ref="F20:G20"/>
    <mergeCell ref="D17:E17"/>
    <mergeCell ref="D18:E18"/>
    <mergeCell ref="D19:E19"/>
    <mergeCell ref="D20:E20"/>
    <mergeCell ref="B19:C19"/>
    <mergeCell ref="A16:A17"/>
    <mergeCell ref="J16:J17"/>
    <mergeCell ref="A15:J15"/>
    <mergeCell ref="A14:J14"/>
    <mergeCell ref="F17:G17"/>
    <mergeCell ref="A10:B10"/>
    <mergeCell ref="C10:D10"/>
    <mergeCell ref="E10:F10"/>
    <mergeCell ref="A37:B37"/>
    <mergeCell ref="C37:D37"/>
    <mergeCell ref="E37:F37"/>
    <mergeCell ref="G37:H37"/>
    <mergeCell ref="I37:J37"/>
    <mergeCell ref="C34:D34"/>
    <mergeCell ref="C35:D35"/>
    <mergeCell ref="F18:G18"/>
    <mergeCell ref="F19:G19"/>
    <mergeCell ref="B20:C20"/>
    <mergeCell ref="C30:F30"/>
    <mergeCell ref="C31:D31"/>
    <mergeCell ref="C32:D32"/>
    <mergeCell ref="B23:C23"/>
    <mergeCell ref="D23:E23"/>
    <mergeCell ref="F23:G23"/>
    <mergeCell ref="B22:C22"/>
    <mergeCell ref="I35:J35"/>
    <mergeCell ref="H20:I20"/>
    <mergeCell ref="H21:I21"/>
    <mergeCell ref="I36:J36"/>
    <mergeCell ref="A36:B36"/>
    <mergeCell ref="C36:D36"/>
    <mergeCell ref="E36:F36"/>
  </mergeCells>
  <phoneticPr fontId="0" type="noConversion"/>
  <printOptions horizontalCentered="1"/>
  <pageMargins left="0.1" right="0.1" top="0.7" bottom="0.1" header="0.5" footer="0.1"/>
  <pageSetup paperSize="9" orientation="portrait" blackAndWhite="1" r:id="rId1"/>
  <headerFooter alignWithMargins="0"/>
</worksheet>
</file>

<file path=xl/worksheets/sheet52.xml><?xml version="1.0" encoding="utf-8"?>
<worksheet xmlns="http://schemas.openxmlformats.org/spreadsheetml/2006/main" xmlns:r="http://schemas.openxmlformats.org/officeDocument/2006/relationships">
  <dimension ref="A1:K40"/>
  <sheetViews>
    <sheetView workbookViewId="0">
      <selection activeCell="J11" sqref="J11"/>
    </sheetView>
  </sheetViews>
  <sheetFormatPr defaultRowHeight="12.75"/>
  <cols>
    <col min="1" max="1" width="3.42578125" customWidth="1"/>
    <col min="2" max="2" width="21.7109375" customWidth="1"/>
    <col min="3" max="7" width="17.140625" customWidth="1"/>
  </cols>
  <sheetData>
    <row r="1" spans="1:11" ht="14.25" customHeight="1">
      <c r="A1" s="1765" t="s">
        <v>772</v>
      </c>
      <c r="B1" s="1765"/>
      <c r="C1" s="1765"/>
      <c r="D1" s="1765"/>
      <c r="E1" s="1765"/>
      <c r="F1" s="1765"/>
      <c r="G1" s="1765"/>
    </row>
    <row r="2" spans="1:11" ht="17.25" customHeight="1">
      <c r="A2" s="1781" t="str">
        <f>CONCATENATE("Live-stock and Poultry in the district of ",District!A1)</f>
        <v>Live-stock and Poultry in the district of South 24-Parganas</v>
      </c>
      <c r="B2" s="1781"/>
      <c r="C2" s="1781"/>
      <c r="D2" s="1781"/>
      <c r="E2" s="1781"/>
      <c r="F2" s="1781"/>
      <c r="G2" s="1781"/>
      <c r="H2" s="23"/>
      <c r="I2" s="23"/>
      <c r="J2" s="23"/>
      <c r="K2" s="23"/>
    </row>
    <row r="3" spans="1:11" ht="14.25" customHeight="1">
      <c r="G3" s="294" t="s">
        <v>977</v>
      </c>
    </row>
    <row r="4" spans="1:11" ht="15" customHeight="1">
      <c r="A4" s="1732" t="s">
        <v>1076</v>
      </c>
      <c r="B4" s="1714"/>
      <c r="C4" s="142">
        <v>1994</v>
      </c>
      <c r="D4" s="1614">
        <v>1997</v>
      </c>
      <c r="E4" s="142">
        <v>2003</v>
      </c>
      <c r="F4" s="142">
        <v>2007</v>
      </c>
      <c r="G4" s="142">
        <v>2012</v>
      </c>
    </row>
    <row r="5" spans="1:11" ht="15" customHeight="1">
      <c r="A5" s="1716" t="s">
        <v>928</v>
      </c>
      <c r="B5" s="2008"/>
      <c r="C5" s="199" t="s">
        <v>929</v>
      </c>
      <c r="D5" s="119" t="s">
        <v>930</v>
      </c>
      <c r="E5" s="199" t="s">
        <v>931</v>
      </c>
      <c r="F5" s="119" t="s">
        <v>932</v>
      </c>
      <c r="G5" s="199" t="s">
        <v>933</v>
      </c>
    </row>
    <row r="6" spans="1:11" ht="18" customHeight="1">
      <c r="A6" s="291">
        <v>1</v>
      </c>
      <c r="B6" s="285" t="s">
        <v>1579</v>
      </c>
      <c r="C6" s="874"/>
      <c r="D6" s="15"/>
      <c r="E6" s="87"/>
      <c r="F6" s="15"/>
      <c r="G6" s="87"/>
    </row>
    <row r="7" spans="1:11" ht="18" customHeight="1">
      <c r="A7" s="204"/>
      <c r="B7" s="284" t="s">
        <v>1686</v>
      </c>
      <c r="C7" s="85">
        <v>344235</v>
      </c>
      <c r="D7" s="85">
        <v>354389</v>
      </c>
      <c r="E7" s="79">
        <v>380250</v>
      </c>
      <c r="F7" s="85">
        <v>393820</v>
      </c>
      <c r="G7" s="85">
        <v>340188</v>
      </c>
    </row>
    <row r="8" spans="1:11" ht="18" customHeight="1">
      <c r="A8" s="204"/>
      <c r="B8" s="284" t="s">
        <v>431</v>
      </c>
      <c r="C8" s="85">
        <v>391795</v>
      </c>
      <c r="D8" s="85">
        <v>403443</v>
      </c>
      <c r="E8" s="79">
        <v>152284</v>
      </c>
      <c r="F8" s="85">
        <v>182746</v>
      </c>
      <c r="G8" s="85">
        <v>84166</v>
      </c>
    </row>
    <row r="9" spans="1:11" ht="18" customHeight="1">
      <c r="A9" s="204"/>
      <c r="B9" s="284" t="s">
        <v>1687</v>
      </c>
      <c r="C9" s="85">
        <v>412695</v>
      </c>
      <c r="D9" s="85">
        <v>424879</v>
      </c>
      <c r="E9" s="79">
        <v>469002</v>
      </c>
      <c r="F9" s="85">
        <v>526690</v>
      </c>
      <c r="G9" s="85">
        <v>362887</v>
      </c>
    </row>
    <row r="10" spans="1:11" ht="18" customHeight="1">
      <c r="A10" s="86"/>
      <c r="B10" s="285" t="s">
        <v>432</v>
      </c>
      <c r="C10" s="287">
        <v>1148725</v>
      </c>
      <c r="D10" s="288">
        <v>1182711</v>
      </c>
      <c r="E10" s="287">
        <v>1001536</v>
      </c>
      <c r="F10" s="288">
        <v>1103256</v>
      </c>
      <c r="G10" s="287">
        <f>SUM(G6:G9)</f>
        <v>787241</v>
      </c>
    </row>
    <row r="11" spans="1:11" ht="18" customHeight="1">
      <c r="A11" s="292">
        <v>2</v>
      </c>
      <c r="B11" s="285" t="s">
        <v>1688</v>
      </c>
      <c r="C11" s="88"/>
      <c r="D11" s="71"/>
      <c r="E11" s="88"/>
      <c r="F11" s="71"/>
      <c r="G11" s="88"/>
    </row>
    <row r="12" spans="1:11" ht="18" customHeight="1">
      <c r="A12" s="204"/>
      <c r="B12" s="284" t="s">
        <v>1686</v>
      </c>
      <c r="C12" s="85">
        <v>8181</v>
      </c>
      <c r="D12" s="85">
        <v>8284</v>
      </c>
      <c r="E12" s="79">
        <v>8442</v>
      </c>
      <c r="F12" s="85">
        <v>3463</v>
      </c>
      <c r="G12" s="85">
        <v>3386</v>
      </c>
    </row>
    <row r="13" spans="1:11" ht="18" customHeight="1">
      <c r="A13" s="204"/>
      <c r="B13" s="284" t="s">
        <v>431</v>
      </c>
      <c r="C13" s="85">
        <v>9527</v>
      </c>
      <c r="D13" s="85">
        <v>9647</v>
      </c>
      <c r="E13" s="79">
        <v>3348</v>
      </c>
      <c r="F13" s="85">
        <v>8474</v>
      </c>
      <c r="G13" s="85">
        <v>1094</v>
      </c>
    </row>
    <row r="14" spans="1:11" ht="18" customHeight="1">
      <c r="A14" s="204"/>
      <c r="B14" s="284" t="s">
        <v>1687</v>
      </c>
      <c r="C14" s="85">
        <v>7215</v>
      </c>
      <c r="D14" s="85">
        <v>7306</v>
      </c>
      <c r="E14" s="79">
        <v>3814</v>
      </c>
      <c r="F14" s="85" t="s">
        <v>857</v>
      </c>
      <c r="G14" s="1629">
        <v>1317</v>
      </c>
    </row>
    <row r="15" spans="1:11" ht="18" customHeight="1">
      <c r="A15" s="68"/>
      <c r="B15" s="285" t="s">
        <v>433</v>
      </c>
      <c r="C15" s="287">
        <v>24923</v>
      </c>
      <c r="D15" s="288">
        <v>25237</v>
      </c>
      <c r="E15" s="287">
        <v>15604</v>
      </c>
      <c r="F15" s="288">
        <v>11937</v>
      </c>
      <c r="G15" s="287">
        <f>SUM(G12:G14)</f>
        <v>5797</v>
      </c>
    </row>
    <row r="16" spans="1:11" ht="18" customHeight="1">
      <c r="A16" s="292">
        <v>3</v>
      </c>
      <c r="B16" s="284" t="s">
        <v>434</v>
      </c>
      <c r="C16" s="85">
        <v>208366</v>
      </c>
      <c r="D16" s="85">
        <v>208468</v>
      </c>
      <c r="E16" s="79">
        <v>212589</v>
      </c>
      <c r="F16" s="85">
        <v>226689</v>
      </c>
      <c r="G16" s="85">
        <v>96134</v>
      </c>
    </row>
    <row r="17" spans="1:7" ht="18" customHeight="1">
      <c r="A17" s="292">
        <v>4</v>
      </c>
      <c r="B17" s="284" t="s">
        <v>1689</v>
      </c>
      <c r="C17" s="85">
        <v>1017784</v>
      </c>
      <c r="D17" s="85">
        <v>1128197</v>
      </c>
      <c r="E17" s="79">
        <v>696935</v>
      </c>
      <c r="F17" s="85">
        <v>901867</v>
      </c>
      <c r="G17" s="85">
        <v>612162</v>
      </c>
    </row>
    <row r="18" spans="1:7" ht="18" customHeight="1">
      <c r="A18" s="292">
        <v>5</v>
      </c>
      <c r="B18" s="284" t="s">
        <v>1502</v>
      </c>
      <c r="C18" s="85">
        <v>171</v>
      </c>
      <c r="D18" s="85">
        <v>172</v>
      </c>
      <c r="E18" s="79">
        <v>67</v>
      </c>
      <c r="F18" s="85">
        <v>95</v>
      </c>
      <c r="G18" s="85">
        <v>106</v>
      </c>
    </row>
    <row r="19" spans="1:7" ht="18" customHeight="1">
      <c r="A19" s="293">
        <v>6</v>
      </c>
      <c r="B19" s="284" t="s">
        <v>1690</v>
      </c>
      <c r="C19" s="85">
        <v>47525</v>
      </c>
      <c r="D19" s="85">
        <v>51250</v>
      </c>
      <c r="E19" s="79">
        <v>32584</v>
      </c>
      <c r="F19" s="85">
        <v>25231</v>
      </c>
      <c r="G19" s="85">
        <v>16389</v>
      </c>
    </row>
    <row r="20" spans="1:7" ht="18" customHeight="1">
      <c r="A20" s="293">
        <v>7</v>
      </c>
      <c r="B20" s="284" t="s">
        <v>435</v>
      </c>
      <c r="C20" s="85" t="s">
        <v>1229</v>
      </c>
      <c r="D20" s="85" t="s">
        <v>1229</v>
      </c>
      <c r="E20" s="79">
        <v>114316</v>
      </c>
      <c r="F20" s="85">
        <v>168291</v>
      </c>
      <c r="G20" s="85">
        <v>199</v>
      </c>
    </row>
    <row r="21" spans="1:7" ht="18" customHeight="1">
      <c r="A21" s="293"/>
      <c r="B21" s="285" t="s">
        <v>436</v>
      </c>
      <c r="C21" s="485">
        <v>2447494</v>
      </c>
      <c r="D21" s="485">
        <v>2596035</v>
      </c>
      <c r="E21" s="485">
        <v>2073631</v>
      </c>
      <c r="F21" s="485">
        <v>2437366</v>
      </c>
      <c r="G21" s="485">
        <f>SUM(G10,G15,G16,G17,G18,G19,G20)</f>
        <v>1518028</v>
      </c>
    </row>
    <row r="22" spans="1:7" ht="18" customHeight="1">
      <c r="A22" s="293">
        <v>8</v>
      </c>
      <c r="B22" s="285" t="s">
        <v>1372</v>
      </c>
      <c r="C22" s="88"/>
      <c r="D22" s="71"/>
      <c r="E22" s="88"/>
      <c r="F22" s="71"/>
      <c r="G22" s="88"/>
    </row>
    <row r="23" spans="1:7" ht="18" customHeight="1">
      <c r="A23" s="204"/>
      <c r="B23" s="284" t="s">
        <v>1691</v>
      </c>
      <c r="C23" s="85">
        <v>2862421</v>
      </c>
      <c r="D23" s="85">
        <v>3107924</v>
      </c>
      <c r="E23" s="79">
        <v>2869243</v>
      </c>
      <c r="F23" s="85">
        <v>3855177</v>
      </c>
      <c r="G23" s="85">
        <v>3364564</v>
      </c>
    </row>
    <row r="24" spans="1:7" ht="18" customHeight="1">
      <c r="A24" s="204"/>
      <c r="B24" s="284" t="s">
        <v>1692</v>
      </c>
      <c r="C24" s="85">
        <v>1333534</v>
      </c>
      <c r="D24" s="85">
        <v>1508465</v>
      </c>
      <c r="E24" s="79">
        <v>1058706</v>
      </c>
      <c r="F24" s="85">
        <v>1104068</v>
      </c>
      <c r="G24" s="85">
        <v>571460</v>
      </c>
    </row>
    <row r="25" spans="1:7" ht="18" customHeight="1">
      <c r="A25" s="204"/>
      <c r="B25" s="284" t="s">
        <v>1111</v>
      </c>
      <c r="C25" s="85">
        <v>8742</v>
      </c>
      <c r="D25" s="85">
        <v>4502</v>
      </c>
      <c r="E25" s="79">
        <v>75897</v>
      </c>
      <c r="F25" s="85">
        <v>65872</v>
      </c>
      <c r="G25" s="85">
        <v>20301</v>
      </c>
    </row>
    <row r="26" spans="1:7" ht="18" customHeight="1">
      <c r="A26" s="58"/>
      <c r="B26" s="286" t="s">
        <v>438</v>
      </c>
      <c r="C26" s="289">
        <v>4204697</v>
      </c>
      <c r="D26" s="290">
        <v>4620891</v>
      </c>
      <c r="E26" s="289">
        <v>4003846</v>
      </c>
      <c r="F26" s="290">
        <v>5025117</v>
      </c>
      <c r="G26" s="289">
        <f>SUM(G23:G25)</f>
        <v>3956325</v>
      </c>
    </row>
    <row r="27" spans="1:7" ht="15.75" customHeight="1">
      <c r="A27" s="962"/>
      <c r="B27" s="962"/>
      <c r="C27" s="962"/>
      <c r="D27" s="962"/>
      <c r="G27" s="1162" t="s">
        <v>391</v>
      </c>
    </row>
    <row r="28" spans="1:7">
      <c r="A28" s="34"/>
      <c r="B28" s="6"/>
    </row>
    <row r="29" spans="1:7">
      <c r="A29" s="6"/>
      <c r="B29" s="6"/>
    </row>
    <row r="30" spans="1:7">
      <c r="A30" s="6"/>
      <c r="B30" s="6"/>
    </row>
    <row r="31" spans="1:7">
      <c r="A31" s="34"/>
      <c r="B31" s="6"/>
    </row>
    <row r="32" spans="1:7">
      <c r="A32" s="34"/>
      <c r="B32" s="6"/>
    </row>
    <row r="33" spans="1:7">
      <c r="A33" s="34"/>
      <c r="B33" s="6"/>
    </row>
    <row r="34" spans="1:7">
      <c r="A34" s="34"/>
      <c r="B34" s="6"/>
    </row>
    <row r="35" spans="1:7">
      <c r="A35" s="34"/>
      <c r="B35" s="6"/>
    </row>
    <row r="36" spans="1:7">
      <c r="A36" s="34"/>
      <c r="B36" s="6"/>
    </row>
    <row r="37" spans="1:7">
      <c r="A37" s="35"/>
      <c r="B37" s="36"/>
      <c r="C37" s="7"/>
      <c r="D37" s="7"/>
      <c r="E37" s="7"/>
      <c r="F37" s="7"/>
      <c r="G37" s="7"/>
    </row>
    <row r="38" spans="1:7">
      <c r="A38" s="35"/>
      <c r="B38" s="36"/>
      <c r="C38" s="7"/>
      <c r="D38" s="7"/>
      <c r="E38" s="7"/>
      <c r="F38" s="7"/>
      <c r="G38" s="7"/>
    </row>
    <row r="39" spans="1:7">
      <c r="A39" s="7"/>
      <c r="B39" s="7"/>
      <c r="C39" s="7"/>
      <c r="D39" s="15"/>
      <c r="E39" s="7"/>
      <c r="F39" s="7"/>
      <c r="G39" s="7"/>
    </row>
    <row r="40" spans="1:7">
      <c r="A40" s="7"/>
      <c r="B40" s="7"/>
      <c r="C40" s="7"/>
      <c r="D40" s="7"/>
      <c r="E40" s="7"/>
      <c r="F40" s="7"/>
      <c r="G40" s="7"/>
    </row>
  </sheetData>
  <mergeCells count="4">
    <mergeCell ref="A1:G1"/>
    <mergeCell ref="A4:B4"/>
    <mergeCell ref="A5:B5"/>
    <mergeCell ref="A2:G2"/>
  </mergeCells>
  <phoneticPr fontId="0" type="noConversion"/>
  <printOptions horizontalCentered="1"/>
  <pageMargins left="0.1" right="0.1" top="0.65" bottom="0.1" header="0.16" footer="0.1"/>
  <pageSetup paperSize="9" orientation="landscape" blackAndWhite="1" r:id="rId1"/>
  <headerFooter alignWithMargins="0"/>
</worksheet>
</file>

<file path=xl/worksheets/sheet53.xml><?xml version="1.0" encoding="utf-8"?>
<worksheet xmlns="http://schemas.openxmlformats.org/spreadsheetml/2006/main" xmlns:r="http://schemas.openxmlformats.org/officeDocument/2006/relationships">
  <sheetPr codeName="Sheet38"/>
  <dimension ref="A1:J66"/>
  <sheetViews>
    <sheetView workbookViewId="0">
      <selection activeCell="J11" sqref="J11"/>
    </sheetView>
  </sheetViews>
  <sheetFormatPr defaultRowHeight="12.4" customHeight="1"/>
  <cols>
    <col min="1" max="1" width="22.140625" customWidth="1"/>
    <col min="2" max="2" width="11.28515625" customWidth="1"/>
    <col min="3" max="3" width="11.42578125" customWidth="1"/>
    <col min="4" max="4" width="11.28515625" customWidth="1"/>
    <col min="5" max="5" width="11.5703125" customWidth="1"/>
    <col min="6" max="6" width="11.140625" customWidth="1"/>
    <col min="7" max="7" width="15.85546875" customWidth="1"/>
    <col min="8" max="9" width="13.5703125" customWidth="1"/>
  </cols>
  <sheetData>
    <row r="1" spans="1:9" ht="12" customHeight="1">
      <c r="A1" s="1739" t="s">
        <v>310</v>
      </c>
      <c r="B1" s="1739"/>
      <c r="C1" s="1739"/>
      <c r="D1" s="1739"/>
      <c r="E1" s="1739"/>
      <c r="F1" s="1739"/>
      <c r="G1" s="1739"/>
      <c r="H1" s="1739"/>
      <c r="I1" s="1739"/>
    </row>
    <row r="2" spans="1:9" ht="30.75" customHeight="1">
      <c r="A2" s="1796" t="str">
        <f>CONCATENATE("Veterinary Hospitals, Veterinary Personnel and Cases treated 
in the district of ",District!A1)</f>
        <v>Veterinary Hospitals, Veterinary Personnel and Cases treated 
in the district of South 24-Parganas</v>
      </c>
      <c r="B2" s="1796"/>
      <c r="C2" s="1796"/>
      <c r="D2" s="1796"/>
      <c r="E2" s="1796"/>
      <c r="F2" s="1796"/>
      <c r="G2" s="1796"/>
      <c r="H2" s="1796"/>
      <c r="I2" s="1796"/>
    </row>
    <row r="3" spans="1:9" ht="13.5" customHeight="1">
      <c r="B3" s="3"/>
      <c r="C3" s="3"/>
      <c r="D3" s="3"/>
      <c r="E3" s="3"/>
      <c r="F3" s="3"/>
      <c r="G3" s="3"/>
      <c r="H3" s="3"/>
      <c r="I3" s="106" t="s">
        <v>977</v>
      </c>
    </row>
    <row r="4" spans="1:9" ht="39.75" customHeight="1">
      <c r="A4" s="260" t="s">
        <v>671</v>
      </c>
      <c r="B4" s="252" t="s">
        <v>1303</v>
      </c>
      <c r="C4" s="260" t="s">
        <v>1693</v>
      </c>
      <c r="D4" s="260" t="s">
        <v>1694</v>
      </c>
      <c r="E4" s="260" t="s">
        <v>1695</v>
      </c>
      <c r="F4" s="447" t="s">
        <v>1696</v>
      </c>
      <c r="G4" s="252" t="s">
        <v>508</v>
      </c>
      <c r="H4" s="909" t="s">
        <v>1697</v>
      </c>
      <c r="I4" s="252" t="s">
        <v>1132</v>
      </c>
    </row>
    <row r="5" spans="1:9" ht="14.25" customHeight="1">
      <c r="A5" s="199" t="s">
        <v>928</v>
      </c>
      <c r="B5" s="199" t="s">
        <v>929</v>
      </c>
      <c r="C5" s="199" t="s">
        <v>930</v>
      </c>
      <c r="D5" s="199" t="s">
        <v>931</v>
      </c>
      <c r="E5" s="199" t="s">
        <v>932</v>
      </c>
      <c r="F5" s="119" t="s">
        <v>933</v>
      </c>
      <c r="G5" s="199" t="s">
        <v>934</v>
      </c>
      <c r="H5" s="119" t="s">
        <v>959</v>
      </c>
      <c r="I5" s="123" t="s">
        <v>960</v>
      </c>
    </row>
    <row r="6" spans="1:9" ht="14.25" customHeight="1">
      <c r="A6" s="293" t="s">
        <v>1317</v>
      </c>
      <c r="B6" s="872">
        <v>6</v>
      </c>
      <c r="C6" s="872">
        <v>29</v>
      </c>
      <c r="D6" s="872">
        <v>20</v>
      </c>
      <c r="E6" s="872">
        <v>81</v>
      </c>
      <c r="F6" s="1311" t="s">
        <v>1229</v>
      </c>
      <c r="G6" s="872">
        <v>387</v>
      </c>
      <c r="H6" s="1311">
        <v>266</v>
      </c>
      <c r="I6" s="872">
        <v>823085</v>
      </c>
    </row>
    <row r="7" spans="1:9" ht="14.25" customHeight="1">
      <c r="A7" s="293" t="s">
        <v>221</v>
      </c>
      <c r="B7" s="872">
        <v>6</v>
      </c>
      <c r="C7" s="893">
        <v>29</v>
      </c>
      <c r="D7" s="893">
        <v>20</v>
      </c>
      <c r="E7" s="893">
        <v>80</v>
      </c>
      <c r="F7" s="893" t="s">
        <v>1229</v>
      </c>
      <c r="G7" s="893">
        <v>134</v>
      </c>
      <c r="H7" s="893">
        <v>293</v>
      </c>
      <c r="I7" s="893">
        <v>806817</v>
      </c>
    </row>
    <row r="8" spans="1:9" ht="14.25" customHeight="1">
      <c r="A8" s="293" t="s">
        <v>1301</v>
      </c>
      <c r="B8" s="872">
        <v>6</v>
      </c>
      <c r="C8" s="872">
        <v>29</v>
      </c>
      <c r="D8" s="893">
        <v>20</v>
      </c>
      <c r="E8" s="893">
        <v>68</v>
      </c>
      <c r="F8" s="1327" t="s">
        <v>1229</v>
      </c>
      <c r="G8" s="872">
        <v>383</v>
      </c>
      <c r="H8" s="893">
        <v>308</v>
      </c>
      <c r="I8" s="872">
        <v>959185</v>
      </c>
    </row>
    <row r="9" spans="1:9" ht="14.25" customHeight="1">
      <c r="A9" s="293" t="s">
        <v>621</v>
      </c>
      <c r="B9" s="872">
        <v>6</v>
      </c>
      <c r="C9" s="872">
        <v>29</v>
      </c>
      <c r="D9" s="893">
        <v>20</v>
      </c>
      <c r="E9" s="893">
        <v>69</v>
      </c>
      <c r="F9" s="1327" t="s">
        <v>1229</v>
      </c>
      <c r="G9" s="872" t="s">
        <v>1899</v>
      </c>
      <c r="H9" s="893">
        <v>308</v>
      </c>
      <c r="I9" s="872" t="s">
        <v>1900</v>
      </c>
    </row>
    <row r="10" spans="1:9" ht="14.25" customHeight="1">
      <c r="A10" s="231" t="s">
        <v>206</v>
      </c>
      <c r="B10" s="812">
        <f>SUM(B13,B22,B38,B43,B54)</f>
        <v>6</v>
      </c>
      <c r="C10" s="812">
        <f>SUM(C13,C22,C38,C43,C54)</f>
        <v>29</v>
      </c>
      <c r="D10" s="812">
        <f>SUM(D13,D22,D38,D43,D54)</f>
        <v>20</v>
      </c>
      <c r="E10" s="812">
        <f>SUM(E13,E22,E38,E43,E54)</f>
        <v>64</v>
      </c>
      <c r="F10" s="813" t="str">
        <f>IF(SUM(F13,F22,F38,F43,F54)=0,"-",SUM(F13,F22,F38,F43,F54))</f>
        <v>-</v>
      </c>
      <c r="G10" s="812">
        <f>SUM(G13,G22,G38,G43,G54)</f>
        <v>291</v>
      </c>
      <c r="H10" s="813">
        <f>SUM(H13,H22,H38,H43,H54)</f>
        <v>293</v>
      </c>
      <c r="I10" s="812">
        <f>SUM(I13,I22,I38,I43,I54)</f>
        <v>1244507</v>
      </c>
    </row>
    <row r="11" spans="1:9" ht="25.5" customHeight="1">
      <c r="A11" s="782" t="s">
        <v>1457</v>
      </c>
      <c r="B11" s="2065" t="str">
        <f>"Year : " &amp; A10</f>
        <v>Year : 2013-14</v>
      </c>
      <c r="C11" s="1978"/>
      <c r="D11" s="1978"/>
      <c r="E11" s="1978"/>
      <c r="F11" s="1978"/>
      <c r="G11" s="1978"/>
      <c r="H11" s="1978"/>
      <c r="I11" s="1979"/>
    </row>
    <row r="12" spans="1:9" ht="15" customHeight="1">
      <c r="A12" s="1393" t="s">
        <v>1464</v>
      </c>
      <c r="B12" s="737" t="s">
        <v>857</v>
      </c>
      <c r="C12" s="737" t="s">
        <v>857</v>
      </c>
      <c r="D12" s="737" t="s">
        <v>857</v>
      </c>
      <c r="E12" s="737" t="s">
        <v>857</v>
      </c>
      <c r="F12" s="737" t="s">
        <v>857</v>
      </c>
      <c r="G12" s="737" t="s">
        <v>857</v>
      </c>
      <c r="H12" s="737" t="s">
        <v>857</v>
      </c>
      <c r="I12" s="1392" t="s">
        <v>857</v>
      </c>
    </row>
    <row r="13" spans="1:9" ht="15" customHeight="1">
      <c r="A13" s="814" t="s">
        <v>24</v>
      </c>
      <c r="B13" s="801">
        <f>SUM(B14:B21)</f>
        <v>1</v>
      </c>
      <c r="C13" s="479">
        <f>SUM(C14:C21)</f>
        <v>5</v>
      </c>
      <c r="D13" s="802">
        <f>SUM(D14:D21)</f>
        <v>3</v>
      </c>
      <c r="E13" s="451">
        <f>SUM(E14:E21)</f>
        <v>5</v>
      </c>
      <c r="F13" s="479" t="str">
        <f>IF(SUM(F14:F21)=0,"-",SUM(F14:F21))</f>
        <v>-</v>
      </c>
      <c r="G13" s="802">
        <f>SUM(G14:G21)</f>
        <v>37</v>
      </c>
      <c r="H13" s="802">
        <f>SUM(H14:H21)</f>
        <v>48</v>
      </c>
      <c r="I13" s="802">
        <f>SUM(I14:I21)</f>
        <v>134442</v>
      </c>
    </row>
    <row r="14" spans="1:9" ht="15" customHeight="1">
      <c r="A14" s="819" t="s">
        <v>757</v>
      </c>
      <c r="B14" s="1570" t="s">
        <v>1229</v>
      </c>
      <c r="C14" s="77">
        <v>1</v>
      </c>
      <c r="D14" s="82">
        <v>1</v>
      </c>
      <c r="E14" s="39">
        <v>1</v>
      </c>
      <c r="F14" s="77" t="s">
        <v>1229</v>
      </c>
      <c r="G14" s="82">
        <v>6</v>
      </c>
      <c r="H14" s="82">
        <v>15</v>
      </c>
      <c r="I14" s="82">
        <v>39297</v>
      </c>
    </row>
    <row r="15" spans="1:9" ht="15" customHeight="1">
      <c r="A15" s="815" t="s">
        <v>1214</v>
      </c>
      <c r="B15" s="261" t="s">
        <v>1229</v>
      </c>
      <c r="C15" s="77">
        <v>1</v>
      </c>
      <c r="D15" s="77" t="s">
        <v>1229</v>
      </c>
      <c r="E15" s="39">
        <v>1</v>
      </c>
      <c r="F15" s="77" t="s">
        <v>1229</v>
      </c>
      <c r="G15" s="82">
        <v>6</v>
      </c>
      <c r="H15" s="82">
        <v>8</v>
      </c>
      <c r="I15" s="82">
        <v>33472</v>
      </c>
    </row>
    <row r="16" spans="1:9" ht="15" customHeight="1">
      <c r="A16" s="815" t="s">
        <v>1211</v>
      </c>
      <c r="B16" s="261" t="s">
        <v>1229</v>
      </c>
      <c r="C16" s="77">
        <v>1</v>
      </c>
      <c r="D16" s="82">
        <v>1</v>
      </c>
      <c r="E16" s="39">
        <v>1</v>
      </c>
      <c r="F16" s="77" t="s">
        <v>1229</v>
      </c>
      <c r="G16" s="82">
        <v>9</v>
      </c>
      <c r="H16" s="82">
        <v>11</v>
      </c>
      <c r="I16" s="82">
        <v>20254</v>
      </c>
    </row>
    <row r="17" spans="1:9" ht="15" customHeight="1">
      <c r="A17" s="815" t="s">
        <v>1212</v>
      </c>
      <c r="B17" s="261" t="s">
        <v>1229</v>
      </c>
      <c r="C17" s="77">
        <v>1</v>
      </c>
      <c r="D17" s="82">
        <v>1</v>
      </c>
      <c r="E17" s="261" t="s">
        <v>1229</v>
      </c>
      <c r="F17" s="77" t="s">
        <v>1229</v>
      </c>
      <c r="G17" s="82">
        <v>8</v>
      </c>
      <c r="H17" s="82">
        <v>4</v>
      </c>
      <c r="I17" s="82">
        <v>15579</v>
      </c>
    </row>
    <row r="18" spans="1:9" ht="15" customHeight="1">
      <c r="A18" s="815" t="s">
        <v>1213</v>
      </c>
      <c r="B18" s="261" t="s">
        <v>1229</v>
      </c>
      <c r="C18" s="77">
        <v>1</v>
      </c>
      <c r="D18" s="77" t="s">
        <v>1229</v>
      </c>
      <c r="E18" s="39">
        <v>2</v>
      </c>
      <c r="F18" s="77" t="s">
        <v>1229</v>
      </c>
      <c r="G18" s="82">
        <v>8</v>
      </c>
      <c r="H18" s="82">
        <v>5</v>
      </c>
      <c r="I18" s="82">
        <v>19109</v>
      </c>
    </row>
    <row r="19" spans="1:9" ht="15" customHeight="1">
      <c r="A19" s="815" t="s">
        <v>1215</v>
      </c>
      <c r="B19" s="261" t="s">
        <v>1229</v>
      </c>
      <c r="C19" s="77" t="s">
        <v>1229</v>
      </c>
      <c r="D19" s="82" t="s">
        <v>1229</v>
      </c>
      <c r="E19" s="39" t="s">
        <v>1229</v>
      </c>
      <c r="F19" s="77" t="s">
        <v>1229</v>
      </c>
      <c r="G19" s="82" t="s">
        <v>1229</v>
      </c>
      <c r="H19" s="82" t="s">
        <v>1229</v>
      </c>
      <c r="I19" s="82" t="s">
        <v>1229</v>
      </c>
    </row>
    <row r="20" spans="1:9" ht="15" customHeight="1">
      <c r="A20" s="815" t="s">
        <v>1216</v>
      </c>
      <c r="B20" s="261">
        <v>1</v>
      </c>
      <c r="C20" s="261" t="s">
        <v>1229</v>
      </c>
      <c r="D20" s="261" t="s">
        <v>1229</v>
      </c>
      <c r="E20" s="261" t="s">
        <v>1229</v>
      </c>
      <c r="F20" s="261" t="s">
        <v>1229</v>
      </c>
      <c r="G20" s="261" t="s">
        <v>1229</v>
      </c>
      <c r="H20" s="77">
        <v>5</v>
      </c>
      <c r="I20" s="82">
        <v>6731</v>
      </c>
    </row>
    <row r="21" spans="1:9" ht="15" customHeight="1">
      <c r="A21" s="815" t="s">
        <v>1217</v>
      </c>
      <c r="B21" s="261" t="s">
        <v>1229</v>
      </c>
      <c r="C21" s="77" t="s">
        <v>1229</v>
      </c>
      <c r="D21" s="301" t="s">
        <v>1229</v>
      </c>
      <c r="E21" s="39" t="s">
        <v>1229</v>
      </c>
      <c r="F21" s="77" t="s">
        <v>1229</v>
      </c>
      <c r="G21" s="82" t="s">
        <v>1229</v>
      </c>
      <c r="H21" s="301" t="s">
        <v>1229</v>
      </c>
      <c r="I21" s="301" t="s">
        <v>1229</v>
      </c>
    </row>
    <row r="22" spans="1:9" ht="15" customHeight="1">
      <c r="A22" s="814" t="s">
        <v>314</v>
      </c>
      <c r="B22" s="801">
        <f>SUM(B23:B32)</f>
        <v>1</v>
      </c>
      <c r="C22" s="479">
        <f>SUM(C23:C32)</f>
        <v>7</v>
      </c>
      <c r="D22" s="802">
        <f>SUM(D23:D32)</f>
        <v>5</v>
      </c>
      <c r="E22" s="451">
        <f>SUM(E23:E32)</f>
        <v>25</v>
      </c>
      <c r="F22" s="479" t="str">
        <f>IF(SUM(F23:F32)=0,"-",SUM(F23:F32))</f>
        <v>-</v>
      </c>
      <c r="G22" s="802">
        <f>SUM(G23:G32)</f>
        <v>70</v>
      </c>
      <c r="H22" s="802">
        <f>SUM(H23:H32)</f>
        <v>82</v>
      </c>
      <c r="I22" s="802">
        <f>SUM(I23:I32)</f>
        <v>288206</v>
      </c>
    </row>
    <row r="23" spans="1:9" ht="15" customHeight="1">
      <c r="A23" s="815" t="s">
        <v>1218</v>
      </c>
      <c r="B23" s="1570" t="s">
        <v>1229</v>
      </c>
      <c r="C23" s="77">
        <v>1</v>
      </c>
      <c r="D23" s="82">
        <v>1</v>
      </c>
      <c r="E23" s="39">
        <v>4</v>
      </c>
      <c r="F23" s="77" t="s">
        <v>1229</v>
      </c>
      <c r="G23" s="82">
        <v>10</v>
      </c>
      <c r="H23" s="82">
        <v>16</v>
      </c>
      <c r="I23" s="82">
        <v>50180</v>
      </c>
    </row>
    <row r="24" spans="1:9" ht="15" customHeight="1">
      <c r="A24" s="816" t="s">
        <v>759</v>
      </c>
      <c r="B24" s="1570" t="s">
        <v>1229</v>
      </c>
      <c r="C24" s="77">
        <v>1</v>
      </c>
      <c r="D24" s="82">
        <v>1</v>
      </c>
      <c r="E24" s="39">
        <v>5</v>
      </c>
      <c r="F24" s="77" t="s">
        <v>1229</v>
      </c>
      <c r="G24" s="82">
        <v>11</v>
      </c>
      <c r="H24" s="82">
        <v>12</v>
      </c>
      <c r="I24" s="82">
        <v>56040</v>
      </c>
    </row>
    <row r="25" spans="1:9" ht="15" customHeight="1">
      <c r="A25" s="816" t="s">
        <v>760</v>
      </c>
      <c r="B25" s="1570" t="s">
        <v>1229</v>
      </c>
      <c r="C25" s="77">
        <v>1</v>
      </c>
      <c r="D25" s="1120" t="s">
        <v>1229</v>
      </c>
      <c r="E25" s="39">
        <v>1</v>
      </c>
      <c r="F25" s="77" t="s">
        <v>1229</v>
      </c>
      <c r="G25" s="82">
        <v>12</v>
      </c>
      <c r="H25" s="82">
        <v>5</v>
      </c>
      <c r="I25" s="82">
        <v>42255</v>
      </c>
    </row>
    <row r="26" spans="1:9" ht="15" customHeight="1">
      <c r="A26" s="816" t="s">
        <v>1194</v>
      </c>
      <c r="B26" s="1570" t="s">
        <v>1229</v>
      </c>
      <c r="C26" s="77">
        <v>1</v>
      </c>
      <c r="D26" s="1120" t="s">
        <v>1229</v>
      </c>
      <c r="E26" s="39">
        <v>2</v>
      </c>
      <c r="F26" s="77" t="s">
        <v>1229</v>
      </c>
      <c r="G26" s="82">
        <v>7</v>
      </c>
      <c r="H26" s="82">
        <v>5</v>
      </c>
      <c r="I26" s="82">
        <v>19943</v>
      </c>
    </row>
    <row r="27" spans="1:9" ht="15" customHeight="1">
      <c r="A27" s="816" t="s">
        <v>1221</v>
      </c>
      <c r="B27" s="1570" t="s">
        <v>1229</v>
      </c>
      <c r="C27" s="77">
        <v>1</v>
      </c>
      <c r="D27" s="1120">
        <v>1</v>
      </c>
      <c r="E27" s="39">
        <v>9</v>
      </c>
      <c r="F27" s="77" t="s">
        <v>1229</v>
      </c>
      <c r="G27" s="82">
        <v>15</v>
      </c>
      <c r="H27" s="82">
        <v>19</v>
      </c>
      <c r="I27" s="82">
        <v>41294</v>
      </c>
    </row>
    <row r="28" spans="1:9" ht="15" customHeight="1">
      <c r="A28" s="816" t="s">
        <v>761</v>
      </c>
      <c r="B28" s="1570" t="s">
        <v>1229</v>
      </c>
      <c r="C28" s="77">
        <v>1</v>
      </c>
      <c r="D28" s="82">
        <v>1</v>
      </c>
      <c r="E28" s="39">
        <v>2</v>
      </c>
      <c r="F28" s="77" t="s">
        <v>1229</v>
      </c>
      <c r="G28" s="82">
        <v>4</v>
      </c>
      <c r="H28" s="82">
        <v>12</v>
      </c>
      <c r="I28" s="82">
        <v>38623</v>
      </c>
    </row>
    <row r="29" spans="1:9" ht="15" customHeight="1">
      <c r="A29" s="248" t="s">
        <v>762</v>
      </c>
      <c r="B29" s="1570" t="s">
        <v>1229</v>
      </c>
      <c r="C29" s="77">
        <v>1</v>
      </c>
      <c r="D29" s="82">
        <v>1</v>
      </c>
      <c r="E29" s="39">
        <v>1</v>
      </c>
      <c r="F29" s="77" t="s">
        <v>1229</v>
      </c>
      <c r="G29" s="82">
        <v>11</v>
      </c>
      <c r="H29" s="82">
        <v>9</v>
      </c>
      <c r="I29" s="82">
        <v>17892</v>
      </c>
    </row>
    <row r="30" spans="1:9" ht="15" customHeight="1">
      <c r="A30" s="816" t="s">
        <v>836</v>
      </c>
      <c r="B30" s="1570" t="s">
        <v>1229</v>
      </c>
      <c r="C30" s="77" t="s">
        <v>1229</v>
      </c>
      <c r="D30" s="82" t="s">
        <v>1229</v>
      </c>
      <c r="E30" s="28">
        <v>1</v>
      </c>
      <c r="F30" s="77" t="s">
        <v>1229</v>
      </c>
      <c r="G30" s="82" t="s">
        <v>1229</v>
      </c>
      <c r="H30" s="1572" t="s">
        <v>857</v>
      </c>
      <c r="I30" s="82">
        <v>4870</v>
      </c>
    </row>
    <row r="31" spans="1:9" ht="15" customHeight="1">
      <c r="A31" s="816" t="s">
        <v>1222</v>
      </c>
      <c r="B31" s="915">
        <v>1</v>
      </c>
      <c r="C31" s="77" t="s">
        <v>1229</v>
      </c>
      <c r="D31" s="82" t="s">
        <v>1229</v>
      </c>
      <c r="E31" s="28" t="s">
        <v>1229</v>
      </c>
      <c r="F31" s="77" t="s">
        <v>1229</v>
      </c>
      <c r="G31" s="1572" t="s">
        <v>1229</v>
      </c>
      <c r="H31" s="374">
        <v>4</v>
      </c>
      <c r="I31" s="374">
        <v>17109</v>
      </c>
    </row>
    <row r="32" spans="1:9" ht="15" customHeight="1">
      <c r="A32" s="818" t="s">
        <v>1736</v>
      </c>
      <c r="B32" s="74" t="s">
        <v>1229</v>
      </c>
      <c r="C32" s="78" t="s">
        <v>1229</v>
      </c>
      <c r="D32" s="75" t="s">
        <v>1229</v>
      </c>
      <c r="E32" s="37" t="s">
        <v>1229</v>
      </c>
      <c r="F32" s="78" t="s">
        <v>1229</v>
      </c>
      <c r="G32" s="75" t="s">
        <v>1229</v>
      </c>
      <c r="H32" s="829" t="s">
        <v>1229</v>
      </c>
      <c r="I32" s="829" t="s">
        <v>1229</v>
      </c>
    </row>
    <row r="33" spans="1:9" ht="15" customHeight="1">
      <c r="A33" s="491"/>
      <c r="B33" s="39"/>
      <c r="C33" s="39"/>
      <c r="D33" s="39"/>
      <c r="E33" s="39"/>
      <c r="F33" s="39"/>
      <c r="G33" s="39"/>
      <c r="H33" s="28"/>
      <c r="I33" s="1160" t="s">
        <v>678</v>
      </c>
    </row>
    <row r="34" spans="1:9" ht="12" customHeight="1">
      <c r="A34" s="1739" t="s">
        <v>773</v>
      </c>
      <c r="B34" s="1739"/>
      <c r="C34" s="1739"/>
      <c r="D34" s="1739"/>
      <c r="E34" s="1739"/>
      <c r="F34" s="1739"/>
      <c r="G34" s="1739"/>
      <c r="H34" s="1739"/>
      <c r="I34" s="1739"/>
    </row>
    <row r="35" spans="1:9" ht="13.5" customHeight="1">
      <c r="B35" s="3"/>
      <c r="C35" s="3"/>
      <c r="D35" s="3"/>
      <c r="E35" s="3"/>
      <c r="F35" s="3"/>
      <c r="G35" s="3"/>
      <c r="H35" s="3"/>
      <c r="I35" s="106" t="s">
        <v>977</v>
      </c>
    </row>
    <row r="36" spans="1:9" ht="42.75" customHeight="1">
      <c r="A36" s="782" t="s">
        <v>1698</v>
      </c>
      <c r="B36" s="252" t="s">
        <v>1303</v>
      </c>
      <c r="C36" s="260" t="s">
        <v>1693</v>
      </c>
      <c r="D36" s="260" t="s">
        <v>1694</v>
      </c>
      <c r="E36" s="260" t="s">
        <v>1695</v>
      </c>
      <c r="F36" s="447" t="s">
        <v>1696</v>
      </c>
      <c r="G36" s="252" t="s">
        <v>508</v>
      </c>
      <c r="H36" s="909" t="s">
        <v>1697</v>
      </c>
      <c r="I36" s="252" t="s">
        <v>1132</v>
      </c>
    </row>
    <row r="37" spans="1:9" ht="17.25" customHeight="1">
      <c r="A37" s="199" t="s">
        <v>928</v>
      </c>
      <c r="B37" s="199" t="s">
        <v>929</v>
      </c>
      <c r="C37" s="199" t="s">
        <v>930</v>
      </c>
      <c r="D37" s="199" t="s">
        <v>931</v>
      </c>
      <c r="E37" s="199" t="s">
        <v>932</v>
      </c>
      <c r="F37" s="119" t="s">
        <v>933</v>
      </c>
      <c r="G37" s="199" t="s">
        <v>934</v>
      </c>
      <c r="H37" s="119" t="s">
        <v>959</v>
      </c>
      <c r="I37" s="123" t="s">
        <v>960</v>
      </c>
    </row>
    <row r="38" spans="1:9" ht="16.5" customHeight="1">
      <c r="A38" s="205" t="s">
        <v>315</v>
      </c>
      <c r="B38" s="801">
        <f t="shared" ref="B38:I38" si="0">SUM(B39:B42)</f>
        <v>1</v>
      </c>
      <c r="C38" s="479">
        <f>SUM(C39:C42)</f>
        <v>4</v>
      </c>
      <c r="D38" s="802">
        <f>SUM(D39:D42)</f>
        <v>4</v>
      </c>
      <c r="E38" s="451">
        <f t="shared" si="0"/>
        <v>7</v>
      </c>
      <c r="F38" s="479" t="str">
        <f>IF( SUM(F39:F42)=0,"-",SUM(F39:F42))</f>
        <v>-</v>
      </c>
      <c r="G38" s="802">
        <f t="shared" si="0"/>
        <v>39</v>
      </c>
      <c r="H38" s="802">
        <f t="shared" si="0"/>
        <v>39</v>
      </c>
      <c r="I38" s="802">
        <f t="shared" si="0"/>
        <v>278922</v>
      </c>
    </row>
    <row r="39" spans="1:9" ht="16.5" customHeight="1">
      <c r="A39" s="816" t="s">
        <v>1223</v>
      </c>
      <c r="B39" s="261">
        <v>1</v>
      </c>
      <c r="C39" s="77">
        <v>1</v>
      </c>
      <c r="D39" s="77">
        <v>1</v>
      </c>
      <c r="E39" s="39">
        <v>3</v>
      </c>
      <c r="F39" s="77" t="s">
        <v>1229</v>
      </c>
      <c r="G39" s="82">
        <v>7</v>
      </c>
      <c r="H39" s="82">
        <v>14</v>
      </c>
      <c r="I39" s="82">
        <v>64117</v>
      </c>
    </row>
    <row r="40" spans="1:9" ht="16.5" customHeight="1">
      <c r="A40" s="816" t="s">
        <v>1224</v>
      </c>
      <c r="B40" s="261" t="s">
        <v>1229</v>
      </c>
      <c r="C40" s="77">
        <v>1</v>
      </c>
      <c r="D40" s="77">
        <v>1</v>
      </c>
      <c r="E40" s="39">
        <v>2</v>
      </c>
      <c r="F40" s="77" t="s">
        <v>1229</v>
      </c>
      <c r="G40" s="82">
        <v>8</v>
      </c>
      <c r="H40" s="82">
        <v>9</v>
      </c>
      <c r="I40" s="82">
        <v>43835</v>
      </c>
    </row>
    <row r="41" spans="1:9" ht="16.5" customHeight="1">
      <c r="A41" s="816" t="s">
        <v>1197</v>
      </c>
      <c r="B41" s="261" t="s">
        <v>1229</v>
      </c>
      <c r="C41" s="77">
        <v>1</v>
      </c>
      <c r="D41" s="77">
        <v>1</v>
      </c>
      <c r="E41" s="39">
        <v>1</v>
      </c>
      <c r="F41" s="77" t="s">
        <v>1229</v>
      </c>
      <c r="G41" s="82">
        <v>9</v>
      </c>
      <c r="H41" s="82">
        <v>7</v>
      </c>
      <c r="I41" s="82">
        <v>77895</v>
      </c>
    </row>
    <row r="42" spans="1:9" ht="16.5" customHeight="1">
      <c r="A42" s="816" t="s">
        <v>1198</v>
      </c>
      <c r="B42" s="261" t="s">
        <v>1229</v>
      </c>
      <c r="C42" s="77">
        <v>1</v>
      </c>
      <c r="D42" s="77">
        <v>1</v>
      </c>
      <c r="E42" s="39">
        <v>1</v>
      </c>
      <c r="F42" s="77" t="s">
        <v>1229</v>
      </c>
      <c r="G42" s="82">
        <v>15</v>
      </c>
      <c r="H42" s="82">
        <v>9</v>
      </c>
      <c r="I42" s="82">
        <v>93075</v>
      </c>
    </row>
    <row r="43" spans="1:9" ht="16.5" customHeight="1">
      <c r="A43" s="206" t="s">
        <v>25</v>
      </c>
      <c r="B43" s="801">
        <f>SUM(B44:B53)</f>
        <v>1</v>
      </c>
      <c r="C43" s="479">
        <f>SUM(C44:C53)</f>
        <v>9</v>
      </c>
      <c r="D43" s="802">
        <f>SUM(D44:D53)</f>
        <v>5</v>
      </c>
      <c r="E43" s="451">
        <f>SUM(E44:E53)</f>
        <v>21</v>
      </c>
      <c r="F43" s="479" t="str">
        <f>IF(SUM(F44:F53)=0,"-",SUM(F44:F53))</f>
        <v>-</v>
      </c>
      <c r="G43" s="802">
        <f>SUM(G44:G53)</f>
        <v>93</v>
      </c>
      <c r="H43" s="802">
        <f>SUM(H44:H53)</f>
        <v>88</v>
      </c>
      <c r="I43" s="802">
        <f>SUM(I44:I53)</f>
        <v>386860</v>
      </c>
    </row>
    <row r="44" spans="1:9" ht="16.5" customHeight="1">
      <c r="A44" s="816" t="s">
        <v>1225</v>
      </c>
      <c r="B44" s="261" t="s">
        <v>1229</v>
      </c>
      <c r="C44" s="77">
        <v>1</v>
      </c>
      <c r="D44" s="82" t="s">
        <v>1229</v>
      </c>
      <c r="E44" s="39">
        <v>4</v>
      </c>
      <c r="F44" s="77" t="s">
        <v>1229</v>
      </c>
      <c r="G44" s="82">
        <v>10</v>
      </c>
      <c r="H44" s="82">
        <v>7</v>
      </c>
      <c r="I44" s="82">
        <v>74150</v>
      </c>
    </row>
    <row r="45" spans="1:9" ht="16.5" customHeight="1">
      <c r="A45" s="816" t="s">
        <v>1226</v>
      </c>
      <c r="B45" s="261" t="s">
        <v>1229</v>
      </c>
      <c r="C45" s="77">
        <v>1</v>
      </c>
      <c r="D45" s="82" t="s">
        <v>1229</v>
      </c>
      <c r="E45" s="39">
        <v>2</v>
      </c>
      <c r="F45" s="77" t="s">
        <v>1229</v>
      </c>
      <c r="G45" s="82">
        <v>14</v>
      </c>
      <c r="H45" s="82">
        <v>9</v>
      </c>
      <c r="I45" s="82">
        <v>38567</v>
      </c>
    </row>
    <row r="46" spans="1:9" ht="16.5" customHeight="1">
      <c r="A46" s="816" t="s">
        <v>1201</v>
      </c>
      <c r="B46" s="261" t="s">
        <v>1229</v>
      </c>
      <c r="C46" s="77">
        <v>1</v>
      </c>
      <c r="D46" s="82" t="s">
        <v>1229</v>
      </c>
      <c r="E46" s="39">
        <v>1</v>
      </c>
      <c r="F46" s="77" t="s">
        <v>1229</v>
      </c>
      <c r="G46" s="82">
        <v>9</v>
      </c>
      <c r="H46" s="82">
        <v>8</v>
      </c>
      <c r="I46" s="82">
        <v>16435</v>
      </c>
    </row>
    <row r="47" spans="1:9" ht="16.5" customHeight="1">
      <c r="A47" s="816" t="s">
        <v>1203</v>
      </c>
      <c r="B47" s="261" t="s">
        <v>1229</v>
      </c>
      <c r="C47" s="77">
        <v>1</v>
      </c>
      <c r="D47" s="82">
        <v>2</v>
      </c>
      <c r="E47" s="39">
        <v>6</v>
      </c>
      <c r="F47" s="77" t="s">
        <v>1229</v>
      </c>
      <c r="G47" s="82">
        <v>12</v>
      </c>
      <c r="H47" s="82">
        <v>16</v>
      </c>
      <c r="I47" s="82">
        <v>93415</v>
      </c>
    </row>
    <row r="48" spans="1:9" ht="16.5" customHeight="1">
      <c r="A48" s="816" t="s">
        <v>1204</v>
      </c>
      <c r="B48" s="261" t="s">
        <v>1229</v>
      </c>
      <c r="C48" s="77">
        <v>1</v>
      </c>
      <c r="D48" s="82">
        <v>1</v>
      </c>
      <c r="E48" s="39">
        <v>2</v>
      </c>
      <c r="F48" s="77" t="s">
        <v>1229</v>
      </c>
      <c r="G48" s="82">
        <v>11</v>
      </c>
      <c r="H48" s="82">
        <v>10</v>
      </c>
      <c r="I48" s="82">
        <v>30035</v>
      </c>
    </row>
    <row r="49" spans="1:9" ht="16.5" customHeight="1">
      <c r="A49" s="816" t="s">
        <v>1744</v>
      </c>
      <c r="B49" s="261" t="s">
        <v>1229</v>
      </c>
      <c r="C49" s="77">
        <v>1</v>
      </c>
      <c r="D49" s="82">
        <v>1</v>
      </c>
      <c r="E49" s="39">
        <v>1</v>
      </c>
      <c r="F49" s="77" t="s">
        <v>1229</v>
      </c>
      <c r="G49" s="82">
        <v>6</v>
      </c>
      <c r="H49" s="82">
        <v>14</v>
      </c>
      <c r="I49" s="82">
        <v>27856</v>
      </c>
    </row>
    <row r="50" spans="1:9" ht="16.5" customHeight="1">
      <c r="A50" s="816" t="s">
        <v>1745</v>
      </c>
      <c r="B50" s="261" t="s">
        <v>1229</v>
      </c>
      <c r="C50" s="77">
        <v>1</v>
      </c>
      <c r="D50" s="82" t="s">
        <v>1229</v>
      </c>
      <c r="E50" s="39">
        <v>3</v>
      </c>
      <c r="F50" s="77" t="s">
        <v>1229</v>
      </c>
      <c r="G50" s="82">
        <v>6</v>
      </c>
      <c r="H50" s="82">
        <v>7</v>
      </c>
      <c r="I50" s="82">
        <v>51176</v>
      </c>
    </row>
    <row r="51" spans="1:9" ht="16.5" customHeight="1">
      <c r="A51" s="816" t="s">
        <v>1227</v>
      </c>
      <c r="B51" s="261" t="s">
        <v>1229</v>
      </c>
      <c r="C51" s="77">
        <v>1</v>
      </c>
      <c r="D51" s="82">
        <v>1</v>
      </c>
      <c r="E51" s="39" t="s">
        <v>1229</v>
      </c>
      <c r="F51" s="77" t="s">
        <v>1229</v>
      </c>
      <c r="G51" s="82">
        <v>9</v>
      </c>
      <c r="H51" s="82">
        <v>8</v>
      </c>
      <c r="I51" s="82">
        <v>28543</v>
      </c>
    </row>
    <row r="52" spans="1:9" ht="16.5" customHeight="1">
      <c r="A52" s="816" t="s">
        <v>1228</v>
      </c>
      <c r="B52" s="261" t="s">
        <v>1229</v>
      </c>
      <c r="C52" s="77">
        <v>1</v>
      </c>
      <c r="D52" s="82" t="s">
        <v>1229</v>
      </c>
      <c r="E52" s="39">
        <v>2</v>
      </c>
      <c r="F52" s="77" t="s">
        <v>1229</v>
      </c>
      <c r="G52" s="82">
        <v>16</v>
      </c>
      <c r="H52" s="82">
        <v>5</v>
      </c>
      <c r="I52" s="82">
        <v>15890</v>
      </c>
    </row>
    <row r="53" spans="1:9" ht="16.5" customHeight="1">
      <c r="A53" s="816" t="s">
        <v>863</v>
      </c>
      <c r="B53" s="395">
        <v>1</v>
      </c>
      <c r="C53" s="392" t="s">
        <v>1229</v>
      </c>
      <c r="D53" s="1082" t="s">
        <v>1229</v>
      </c>
      <c r="E53" s="370" t="s">
        <v>1229</v>
      </c>
      <c r="F53" s="392" t="s">
        <v>1229</v>
      </c>
      <c r="G53" s="374" t="s">
        <v>1229</v>
      </c>
      <c r="H53" s="374">
        <v>4</v>
      </c>
      <c r="I53" s="374">
        <v>10793</v>
      </c>
    </row>
    <row r="54" spans="1:9" ht="16.5" customHeight="1">
      <c r="A54" s="817" t="s">
        <v>317</v>
      </c>
      <c r="B54" s="801">
        <f>SUM(B55:B58)</f>
        <v>2</v>
      </c>
      <c r="C54" s="479">
        <f>SUM(C55:C58)</f>
        <v>4</v>
      </c>
      <c r="D54" s="802">
        <f>SUM(D55:D58)</f>
        <v>3</v>
      </c>
      <c r="E54" s="451">
        <f>SUM(E55:E58)</f>
        <v>6</v>
      </c>
      <c r="F54" s="479" t="str">
        <f>IF(SUM(F55:F58)=0,"-",SUM(F55:F58))</f>
        <v>-</v>
      </c>
      <c r="G54" s="802">
        <f>SUM(G55:G58)</f>
        <v>52</v>
      </c>
      <c r="H54" s="802">
        <f>SUM(H55:H58)</f>
        <v>36</v>
      </c>
      <c r="I54" s="802">
        <f>SUM(I55:I58)</f>
        <v>156077</v>
      </c>
    </row>
    <row r="55" spans="1:9" ht="16.5" customHeight="1">
      <c r="A55" s="816" t="s">
        <v>1205</v>
      </c>
      <c r="B55" s="261">
        <v>1</v>
      </c>
      <c r="C55" s="77">
        <v>1</v>
      </c>
      <c r="D55" s="82">
        <v>1</v>
      </c>
      <c r="E55" s="39">
        <v>3</v>
      </c>
      <c r="F55" s="77" t="s">
        <v>1229</v>
      </c>
      <c r="G55" s="82">
        <v>18</v>
      </c>
      <c r="H55" s="82">
        <v>17</v>
      </c>
      <c r="I55" s="82">
        <v>34408</v>
      </c>
    </row>
    <row r="56" spans="1:9" ht="16.5" customHeight="1">
      <c r="A56" s="816" t="s">
        <v>1206</v>
      </c>
      <c r="B56" s="261" t="s">
        <v>1229</v>
      </c>
      <c r="C56" s="77">
        <v>1</v>
      </c>
      <c r="D56" s="82" t="s">
        <v>1229</v>
      </c>
      <c r="E56" s="39">
        <v>1</v>
      </c>
      <c r="F56" s="77" t="s">
        <v>1229</v>
      </c>
      <c r="G56" s="82">
        <v>7</v>
      </c>
      <c r="H56" s="82">
        <v>6</v>
      </c>
      <c r="I56" s="82">
        <v>39685</v>
      </c>
    </row>
    <row r="57" spans="1:9" ht="16.5" customHeight="1">
      <c r="A57" s="816" t="s">
        <v>1207</v>
      </c>
      <c r="B57" s="261" t="s">
        <v>1229</v>
      </c>
      <c r="C57" s="77">
        <v>1</v>
      </c>
      <c r="D57" s="82">
        <v>1</v>
      </c>
      <c r="E57" s="1571" t="s">
        <v>1229</v>
      </c>
      <c r="F57" s="77" t="s">
        <v>1229</v>
      </c>
      <c r="G57" s="82">
        <v>10</v>
      </c>
      <c r="H57" s="82">
        <v>5</v>
      </c>
      <c r="I57" s="82">
        <v>32058</v>
      </c>
    </row>
    <row r="58" spans="1:9" ht="16.5" customHeight="1">
      <c r="A58" s="818" t="s">
        <v>1208</v>
      </c>
      <c r="B58" s="74">
        <v>1</v>
      </c>
      <c r="C58" s="78">
        <v>1</v>
      </c>
      <c r="D58" s="75">
        <v>1</v>
      </c>
      <c r="E58" s="25">
        <v>2</v>
      </c>
      <c r="F58" s="78" t="s">
        <v>1229</v>
      </c>
      <c r="G58" s="75">
        <v>17</v>
      </c>
      <c r="H58" s="75">
        <v>8</v>
      </c>
      <c r="I58" s="75">
        <v>49926</v>
      </c>
    </row>
    <row r="59" spans="1:9" ht="12.75" customHeight="1">
      <c r="A59" s="1009" t="s">
        <v>196</v>
      </c>
      <c r="B59" s="1009"/>
      <c r="C59" s="1009"/>
      <c r="D59" s="1009"/>
      <c r="E59" s="1008"/>
      <c r="F59" s="1151" t="s">
        <v>311</v>
      </c>
      <c r="G59" s="2062" t="s">
        <v>1107</v>
      </c>
      <c r="H59" s="2063"/>
      <c r="I59" s="2063"/>
    </row>
    <row r="60" spans="1:9" ht="12.75" customHeight="1">
      <c r="A60" s="1009" t="s">
        <v>193</v>
      </c>
      <c r="B60" s="1009"/>
      <c r="C60" s="1009"/>
      <c r="D60" s="1009"/>
      <c r="E60" s="1009"/>
      <c r="F60" s="1138"/>
      <c r="G60" s="2064"/>
      <c r="H60" s="2064"/>
      <c r="I60" s="2064"/>
    </row>
    <row r="61" spans="1:9" ht="12.75" customHeight="1">
      <c r="A61" s="1009" t="s">
        <v>197</v>
      </c>
      <c r="B61" s="1009"/>
      <c r="C61" s="1009"/>
      <c r="D61" s="1009"/>
      <c r="E61" s="1009"/>
      <c r="F61" s="1161"/>
      <c r="G61" s="1009"/>
      <c r="H61" s="1161"/>
      <c r="I61" s="1009"/>
    </row>
    <row r="62" spans="1:9" ht="12.75" customHeight="1">
      <c r="A62" s="1009" t="s">
        <v>195</v>
      </c>
      <c r="B62" s="1009"/>
      <c r="C62" s="1009"/>
      <c r="D62" s="1009"/>
      <c r="E62" s="1009"/>
      <c r="F62" s="1009"/>
      <c r="G62" s="1009"/>
      <c r="H62" s="1009"/>
      <c r="I62" s="1009"/>
    </row>
    <row r="63" spans="1:9" ht="12.75" customHeight="1">
      <c r="A63" s="1009" t="s">
        <v>198</v>
      </c>
      <c r="B63" s="1009"/>
      <c r="C63" s="1009"/>
      <c r="D63" s="1009"/>
      <c r="E63" s="1009"/>
      <c r="F63" s="1009"/>
      <c r="G63" s="1009"/>
      <c r="H63" s="1009"/>
      <c r="I63" s="1009"/>
    </row>
    <row r="64" spans="1:9" ht="12.75" customHeight="1">
      <c r="A64" s="1009" t="s">
        <v>199</v>
      </c>
      <c r="B64" s="1009"/>
      <c r="C64" s="1009"/>
      <c r="D64" s="1009"/>
      <c r="E64" s="1009"/>
      <c r="F64" s="1009"/>
      <c r="G64" s="1009"/>
      <c r="H64" s="1009"/>
      <c r="I64" s="1009"/>
    </row>
    <row r="65" spans="1:10" ht="12.75" customHeight="1">
      <c r="A65" s="1009" t="s">
        <v>194</v>
      </c>
      <c r="B65" s="1009"/>
      <c r="C65" s="1009"/>
      <c r="D65" s="1009"/>
      <c r="E65" s="1009"/>
      <c r="F65" s="1009"/>
      <c r="G65" s="1009"/>
      <c r="H65" s="1009"/>
      <c r="I65" s="1009"/>
    </row>
    <row r="66" spans="1:10" ht="13.5" customHeight="1">
      <c r="J66" s="1"/>
    </row>
  </sheetData>
  <mergeCells count="5">
    <mergeCell ref="G59:I60"/>
    <mergeCell ref="A1:I1"/>
    <mergeCell ref="A2:I2"/>
    <mergeCell ref="B11:I11"/>
    <mergeCell ref="A34:I34"/>
  </mergeCells>
  <phoneticPr fontId="0" type="noConversion"/>
  <conditionalFormatting sqref="A1:XFD1048576">
    <cfRule type="cellIs" dxfId="12" priority="1" stopIfTrue="1" operator="equal">
      <formula>".."</formula>
    </cfRule>
  </conditionalFormatting>
  <printOptions horizontalCentered="1"/>
  <pageMargins left="0.1" right="0.1" top="0.61" bottom="0" header="0.56000000000000005" footer="0.1"/>
  <pageSetup paperSize="9" orientation="landscape" blackAndWhite="1" r:id="rId1"/>
  <headerFooter alignWithMargins="0"/>
  <rowBreaks count="1" manualBreakCount="1">
    <brk id="33" max="16383" man="1"/>
  </rowBreaks>
</worksheet>
</file>

<file path=xl/worksheets/sheet54.xml><?xml version="1.0" encoding="utf-8"?>
<worksheet xmlns="http://schemas.openxmlformats.org/spreadsheetml/2006/main" xmlns:r="http://schemas.openxmlformats.org/officeDocument/2006/relationships">
  <dimension ref="A1:G48"/>
  <sheetViews>
    <sheetView workbookViewId="0">
      <selection activeCell="J11" sqref="J11"/>
    </sheetView>
  </sheetViews>
  <sheetFormatPr defaultRowHeight="12.75"/>
  <cols>
    <col min="1" max="1" width="2.85546875" style="232" customWidth="1"/>
    <col min="2" max="2" width="13.85546875" style="232" customWidth="1"/>
    <col min="3" max="3" width="10.140625" style="232" customWidth="1"/>
    <col min="4" max="4" width="10.5703125" style="232" customWidth="1"/>
    <col min="5" max="5" width="16" style="232" customWidth="1"/>
    <col min="6" max="6" width="17" style="232" customWidth="1"/>
    <col min="7" max="7" width="16.85546875" style="232" customWidth="1"/>
    <col min="8" max="16384" width="9.140625" style="232"/>
  </cols>
  <sheetData>
    <row r="1" spans="1:7" ht="15" customHeight="1">
      <c r="A1" s="1739" t="s">
        <v>1324</v>
      </c>
      <c r="B1" s="1739"/>
      <c r="C1" s="1739"/>
      <c r="D1" s="1739"/>
      <c r="E1" s="1739"/>
      <c r="F1" s="1739"/>
      <c r="G1" s="1739"/>
    </row>
    <row r="2" spans="1:7" ht="23.25" customHeight="1">
      <c r="A2" s="1720" t="str">
        <f>CONCATENATE("Progress of Co-operative Movement in the district of ",District!A1)</f>
        <v>Progress of Co-operative Movement in the district of South 24-Parganas</v>
      </c>
      <c r="B2" s="1720"/>
      <c r="C2" s="1720"/>
      <c r="D2" s="1720"/>
      <c r="E2" s="1720"/>
      <c r="F2" s="1720"/>
      <c r="G2" s="1720"/>
    </row>
    <row r="3" spans="1:7" ht="15.75" customHeight="1">
      <c r="A3" s="1742" t="s">
        <v>275</v>
      </c>
      <c r="B3" s="1799"/>
      <c r="C3" s="1713" t="s">
        <v>274</v>
      </c>
      <c r="D3" s="1714"/>
      <c r="E3" s="1737" t="s">
        <v>562</v>
      </c>
      <c r="F3" s="1737" t="s">
        <v>96</v>
      </c>
      <c r="G3" s="1737" t="s">
        <v>588</v>
      </c>
    </row>
    <row r="4" spans="1:7" ht="37.5" customHeight="1">
      <c r="A4" s="1761"/>
      <c r="B4" s="1801"/>
      <c r="C4" s="252" t="s">
        <v>909</v>
      </c>
      <c r="D4" s="252" t="s">
        <v>910</v>
      </c>
      <c r="E4" s="1743"/>
      <c r="F4" s="1743"/>
      <c r="G4" s="1743"/>
    </row>
    <row r="5" spans="1:7" ht="18.75" customHeight="1">
      <c r="A5" s="2066" t="s">
        <v>928</v>
      </c>
      <c r="B5" s="2067"/>
      <c r="C5" s="199" t="s">
        <v>929</v>
      </c>
      <c r="D5" s="199" t="s">
        <v>930</v>
      </c>
      <c r="E5" s="194" t="s">
        <v>931</v>
      </c>
      <c r="F5" s="194" t="s">
        <v>932</v>
      </c>
      <c r="G5" s="194" t="s">
        <v>933</v>
      </c>
    </row>
    <row r="6" spans="1:7" ht="14.25" customHeight="1">
      <c r="A6" s="481">
        <v>1</v>
      </c>
      <c r="B6" s="1533" t="s">
        <v>1699</v>
      </c>
      <c r="C6" s="418"/>
      <c r="D6" s="418"/>
      <c r="E6" s="418"/>
      <c r="F6" s="418"/>
      <c r="G6" s="296"/>
    </row>
    <row r="7" spans="1:7" ht="14.25" customHeight="1">
      <c r="A7" s="404"/>
      <c r="B7" s="665" t="s">
        <v>1317</v>
      </c>
      <c r="C7" s="77">
        <v>1</v>
      </c>
      <c r="D7" s="77">
        <v>332</v>
      </c>
      <c r="E7" s="1534">
        <v>3724198</v>
      </c>
      <c r="F7" s="77">
        <v>370065</v>
      </c>
      <c r="G7" s="77">
        <v>245807</v>
      </c>
    </row>
    <row r="8" spans="1:7" ht="14.25" customHeight="1">
      <c r="A8" s="404"/>
      <c r="B8" s="665" t="s">
        <v>221</v>
      </c>
      <c r="C8" s="77">
        <v>1</v>
      </c>
      <c r="D8" s="77">
        <v>337</v>
      </c>
      <c r="E8" s="1534">
        <v>3664140</v>
      </c>
      <c r="F8" s="77">
        <v>444120</v>
      </c>
      <c r="G8" s="77">
        <v>282678</v>
      </c>
    </row>
    <row r="9" spans="1:7" ht="14.25" customHeight="1">
      <c r="A9" s="404"/>
      <c r="B9" s="665" t="s">
        <v>1301</v>
      </c>
      <c r="C9" s="77">
        <v>1</v>
      </c>
      <c r="D9" s="77">
        <v>338</v>
      </c>
      <c r="E9" s="1534">
        <v>3609261</v>
      </c>
      <c r="F9" s="77">
        <v>532994</v>
      </c>
      <c r="G9" s="77">
        <v>325079</v>
      </c>
    </row>
    <row r="10" spans="1:7" ht="14.25" customHeight="1">
      <c r="A10" s="404"/>
      <c r="B10" s="665" t="s">
        <v>621</v>
      </c>
      <c r="C10" s="77">
        <v>1</v>
      </c>
      <c r="D10" s="77">
        <v>348</v>
      </c>
      <c r="E10" s="1534">
        <v>3609473</v>
      </c>
      <c r="F10" s="77">
        <v>533245</v>
      </c>
      <c r="G10" s="77">
        <v>331476</v>
      </c>
    </row>
    <row r="11" spans="1:7" ht="14.25" customHeight="1">
      <c r="A11" s="404"/>
      <c r="B11" s="665" t="s">
        <v>206</v>
      </c>
      <c r="C11" s="77">
        <v>1</v>
      </c>
      <c r="D11" s="77">
        <v>478</v>
      </c>
      <c r="E11" s="1534">
        <v>3615798</v>
      </c>
      <c r="F11" s="77">
        <v>542359</v>
      </c>
      <c r="G11" s="77">
        <v>416574</v>
      </c>
    </row>
    <row r="12" spans="1:7" ht="14.25" customHeight="1">
      <c r="A12" s="481">
        <v>2</v>
      </c>
      <c r="B12" s="1531" t="s">
        <v>1700</v>
      </c>
      <c r="C12" s="1535"/>
      <c r="D12" s="1535"/>
      <c r="E12" s="77"/>
      <c r="F12" s="77"/>
      <c r="G12" s="77"/>
    </row>
    <row r="13" spans="1:7" ht="14.25" customHeight="1">
      <c r="A13" s="404"/>
      <c r="B13" s="665" t="s">
        <v>1317</v>
      </c>
      <c r="C13" s="77">
        <v>1</v>
      </c>
      <c r="D13" s="77">
        <v>3428</v>
      </c>
      <c r="E13" s="513">
        <v>122256</v>
      </c>
      <c r="F13" s="77">
        <v>14632</v>
      </c>
      <c r="G13" s="77">
        <v>21067</v>
      </c>
    </row>
    <row r="14" spans="1:7" ht="14.25" customHeight="1">
      <c r="A14" s="404"/>
      <c r="B14" s="665" t="s">
        <v>221</v>
      </c>
      <c r="C14" s="77">
        <v>1</v>
      </c>
      <c r="D14" s="77">
        <v>4176</v>
      </c>
      <c r="E14" s="513">
        <v>134471</v>
      </c>
      <c r="F14" s="77">
        <v>15528</v>
      </c>
      <c r="G14" s="77">
        <v>22109</v>
      </c>
    </row>
    <row r="15" spans="1:7" ht="14.25" customHeight="1">
      <c r="A15" s="404"/>
      <c r="B15" s="665" t="s">
        <v>1301</v>
      </c>
      <c r="C15" s="77">
        <v>1</v>
      </c>
      <c r="D15" s="77">
        <v>8649</v>
      </c>
      <c r="E15" s="513">
        <v>196553</v>
      </c>
      <c r="F15" s="77">
        <v>181848</v>
      </c>
      <c r="G15" s="77">
        <v>62927</v>
      </c>
    </row>
    <row r="16" spans="1:7" ht="14.25" customHeight="1">
      <c r="A16" s="404"/>
      <c r="B16" s="665" t="s">
        <v>621</v>
      </c>
      <c r="C16" s="77">
        <v>1</v>
      </c>
      <c r="D16" s="77">
        <v>7230</v>
      </c>
      <c r="E16" s="513">
        <v>196721</v>
      </c>
      <c r="F16" s="77">
        <v>182346</v>
      </c>
      <c r="G16" s="77">
        <v>63458</v>
      </c>
    </row>
    <row r="17" spans="1:7" ht="14.25" customHeight="1">
      <c r="A17" s="404"/>
      <c r="B17" s="665" t="s">
        <v>206</v>
      </c>
      <c r="C17" s="77">
        <v>1</v>
      </c>
      <c r="D17" s="77">
        <v>7865</v>
      </c>
      <c r="E17" s="513">
        <v>197765</v>
      </c>
      <c r="F17" s="77">
        <v>186459</v>
      </c>
      <c r="G17" s="77">
        <v>77562</v>
      </c>
    </row>
    <row r="18" spans="1:7" ht="14.25" customHeight="1">
      <c r="A18" s="481">
        <v>3</v>
      </c>
      <c r="B18" s="1531" t="s">
        <v>439</v>
      </c>
      <c r="C18" s="1535"/>
      <c r="D18" s="1535"/>
      <c r="E18" s="77"/>
      <c r="F18" s="77"/>
      <c r="G18" s="77"/>
    </row>
    <row r="19" spans="1:7" ht="14.25" customHeight="1">
      <c r="A19" s="404"/>
      <c r="B19" s="665" t="s">
        <v>1317</v>
      </c>
      <c r="C19" s="77">
        <v>303</v>
      </c>
      <c r="D19" s="77">
        <v>378922</v>
      </c>
      <c r="E19" s="513">
        <v>358598</v>
      </c>
      <c r="F19" s="77">
        <v>199430</v>
      </c>
      <c r="G19" s="77">
        <v>114126</v>
      </c>
    </row>
    <row r="20" spans="1:7" ht="14.25" customHeight="1">
      <c r="A20" s="404"/>
      <c r="B20" s="665" t="s">
        <v>221</v>
      </c>
      <c r="C20" s="77">
        <v>308</v>
      </c>
      <c r="D20" s="77">
        <v>382902</v>
      </c>
      <c r="E20" s="513">
        <v>360548</v>
      </c>
      <c r="F20" s="77">
        <v>202396</v>
      </c>
      <c r="G20" s="77">
        <v>121938</v>
      </c>
    </row>
    <row r="21" spans="1:7" ht="14.25" customHeight="1">
      <c r="A21" s="404"/>
      <c r="B21" s="665" t="s">
        <v>1301</v>
      </c>
      <c r="C21" s="77">
        <v>316</v>
      </c>
      <c r="D21" s="77">
        <v>400531</v>
      </c>
      <c r="E21" s="513">
        <v>1474160</v>
      </c>
      <c r="F21" s="77">
        <v>688139</v>
      </c>
      <c r="G21" s="77">
        <v>303715</v>
      </c>
    </row>
    <row r="22" spans="1:7" ht="14.25" customHeight="1">
      <c r="A22" s="404"/>
      <c r="B22" s="665" t="s">
        <v>621</v>
      </c>
      <c r="C22" s="77">
        <v>320</v>
      </c>
      <c r="D22" s="77">
        <v>404251</v>
      </c>
      <c r="E22" s="513">
        <v>1479654</v>
      </c>
      <c r="F22" s="77">
        <v>692421</v>
      </c>
      <c r="G22" s="77">
        <v>324762</v>
      </c>
    </row>
    <row r="23" spans="1:7" ht="14.25" customHeight="1">
      <c r="A23" s="404"/>
      <c r="B23" s="665" t="s">
        <v>206</v>
      </c>
      <c r="C23" s="77">
        <v>348</v>
      </c>
      <c r="D23" s="77">
        <v>404623</v>
      </c>
      <c r="E23" s="513">
        <v>1486243</v>
      </c>
      <c r="F23" s="77">
        <v>696342</v>
      </c>
      <c r="G23" s="77">
        <v>328425</v>
      </c>
    </row>
    <row r="24" spans="1:7" ht="14.25" customHeight="1">
      <c r="A24" s="481">
        <v>4</v>
      </c>
      <c r="B24" s="1531" t="s">
        <v>440</v>
      </c>
      <c r="C24" s="1535"/>
      <c r="D24" s="1535"/>
      <c r="E24" s="1535"/>
      <c r="F24" s="77"/>
      <c r="G24" s="77"/>
    </row>
    <row r="25" spans="1:7" ht="14.25" customHeight="1">
      <c r="A25" s="404"/>
      <c r="B25" s="665" t="s">
        <v>1317</v>
      </c>
      <c r="C25" s="77">
        <v>345</v>
      </c>
      <c r="D25" s="77">
        <v>140022</v>
      </c>
      <c r="E25" s="513">
        <v>90966</v>
      </c>
      <c r="F25" s="77">
        <v>21174</v>
      </c>
      <c r="G25" s="77">
        <v>370085</v>
      </c>
    </row>
    <row r="26" spans="1:7" ht="14.25" customHeight="1">
      <c r="A26" s="404"/>
      <c r="B26" s="665" t="s">
        <v>221</v>
      </c>
      <c r="C26" s="77">
        <v>347</v>
      </c>
      <c r="D26" s="77">
        <v>140958</v>
      </c>
      <c r="E26" s="513">
        <v>91754</v>
      </c>
      <c r="F26" s="77">
        <v>22198</v>
      </c>
      <c r="G26" s="77">
        <v>380281</v>
      </c>
    </row>
    <row r="27" spans="1:7" ht="14.25" customHeight="1">
      <c r="A27" s="404"/>
      <c r="B27" s="665" t="s">
        <v>1301</v>
      </c>
      <c r="C27" s="77">
        <v>351</v>
      </c>
      <c r="D27" s="77">
        <v>223907</v>
      </c>
      <c r="E27" s="513">
        <v>3224414</v>
      </c>
      <c r="F27" s="77">
        <v>469857</v>
      </c>
      <c r="G27" s="77">
        <v>298593</v>
      </c>
    </row>
    <row r="28" spans="1:7" ht="14.25" customHeight="1">
      <c r="A28" s="404"/>
      <c r="B28" s="665" t="s">
        <v>621</v>
      </c>
      <c r="C28" s="77">
        <v>357</v>
      </c>
      <c r="D28" s="77">
        <v>224009</v>
      </c>
      <c r="E28" s="513">
        <v>3224854</v>
      </c>
      <c r="F28" s="77">
        <v>471546</v>
      </c>
      <c r="G28" s="77">
        <v>314524</v>
      </c>
    </row>
    <row r="29" spans="1:7" ht="14.25" customHeight="1">
      <c r="A29" s="404"/>
      <c r="B29" s="665" t="s">
        <v>206</v>
      </c>
      <c r="C29" s="77">
        <v>374</v>
      </c>
      <c r="D29" s="77">
        <v>225316</v>
      </c>
      <c r="E29" s="513">
        <v>3228416</v>
      </c>
      <c r="F29" s="77">
        <v>476419</v>
      </c>
      <c r="G29" s="77">
        <v>317546</v>
      </c>
    </row>
    <row r="30" spans="1:7" ht="14.25" customHeight="1">
      <c r="A30" s="481">
        <v>5</v>
      </c>
      <c r="B30" s="1531" t="s">
        <v>1701</v>
      </c>
      <c r="C30" s="1535"/>
      <c r="D30" s="1535"/>
      <c r="E30" s="1535"/>
      <c r="F30" s="77"/>
      <c r="G30" s="77"/>
    </row>
    <row r="31" spans="1:7" ht="14.25" customHeight="1">
      <c r="A31" s="404"/>
      <c r="B31" s="665" t="s">
        <v>1317</v>
      </c>
      <c r="C31" s="77">
        <f t="shared" ref="C31:G35" si="0">C7+C13+C19+C25</f>
        <v>650</v>
      </c>
      <c r="D31" s="77">
        <f t="shared" si="0"/>
        <v>522704</v>
      </c>
      <c r="E31" s="77">
        <f t="shared" si="0"/>
        <v>4296018</v>
      </c>
      <c r="F31" s="77">
        <f t="shared" si="0"/>
        <v>605301</v>
      </c>
      <c r="G31" s="77">
        <f t="shared" si="0"/>
        <v>751085</v>
      </c>
    </row>
    <row r="32" spans="1:7" ht="14.25" customHeight="1">
      <c r="A32" s="404"/>
      <c r="B32" s="665" t="s">
        <v>221</v>
      </c>
      <c r="C32" s="77">
        <f t="shared" si="0"/>
        <v>657</v>
      </c>
      <c r="D32" s="77">
        <f t="shared" si="0"/>
        <v>528373</v>
      </c>
      <c r="E32" s="77">
        <f t="shared" si="0"/>
        <v>4250913</v>
      </c>
      <c r="F32" s="77">
        <f t="shared" si="0"/>
        <v>684242</v>
      </c>
      <c r="G32" s="77">
        <f t="shared" si="0"/>
        <v>807006</v>
      </c>
    </row>
    <row r="33" spans="1:7" ht="14.25" customHeight="1">
      <c r="A33" s="404"/>
      <c r="B33" s="665" t="s">
        <v>1301</v>
      </c>
      <c r="C33" s="77">
        <f t="shared" si="0"/>
        <v>669</v>
      </c>
      <c r="D33" s="77">
        <f t="shared" si="0"/>
        <v>633425</v>
      </c>
      <c r="E33" s="77">
        <f t="shared" si="0"/>
        <v>8504388</v>
      </c>
      <c r="F33" s="77">
        <f t="shared" si="0"/>
        <v>1872838</v>
      </c>
      <c r="G33" s="77">
        <f t="shared" si="0"/>
        <v>990314</v>
      </c>
    </row>
    <row r="34" spans="1:7" ht="14.25" customHeight="1">
      <c r="A34" s="404"/>
      <c r="B34" s="665" t="s">
        <v>621</v>
      </c>
      <c r="C34" s="77">
        <f t="shared" si="0"/>
        <v>679</v>
      </c>
      <c r="D34" s="77">
        <f t="shared" si="0"/>
        <v>635838</v>
      </c>
      <c r="E34" s="77">
        <f t="shared" si="0"/>
        <v>8510702</v>
      </c>
      <c r="F34" s="77">
        <f t="shared" si="0"/>
        <v>1879558</v>
      </c>
      <c r="G34" s="77">
        <f t="shared" si="0"/>
        <v>1034220</v>
      </c>
    </row>
    <row r="35" spans="1:7" ht="14.25" customHeight="1">
      <c r="A35" s="404"/>
      <c r="B35" s="665" t="s">
        <v>206</v>
      </c>
      <c r="C35" s="77">
        <f t="shared" si="0"/>
        <v>724</v>
      </c>
      <c r="D35" s="77">
        <f t="shared" si="0"/>
        <v>638282</v>
      </c>
      <c r="E35" s="77">
        <f t="shared" si="0"/>
        <v>8528222</v>
      </c>
      <c r="F35" s="77">
        <f t="shared" si="0"/>
        <v>1901579</v>
      </c>
      <c r="G35" s="77">
        <f t="shared" si="0"/>
        <v>1140107</v>
      </c>
    </row>
    <row r="36" spans="1:7" ht="14.25" customHeight="1">
      <c r="A36" s="481">
        <v>6</v>
      </c>
      <c r="B36" s="1531" t="s">
        <v>441</v>
      </c>
      <c r="C36" s="1535"/>
      <c r="D36" s="77"/>
      <c r="E36" s="77"/>
      <c r="F36" s="77"/>
      <c r="G36" s="77"/>
    </row>
    <row r="37" spans="1:7" ht="14.25" customHeight="1">
      <c r="A37" s="404"/>
      <c r="B37" s="665" t="s">
        <v>1317</v>
      </c>
      <c r="C37" s="77">
        <v>401</v>
      </c>
      <c r="D37" s="77">
        <v>66620</v>
      </c>
      <c r="E37" s="513">
        <v>78625</v>
      </c>
      <c r="F37" s="77" t="s">
        <v>1229</v>
      </c>
      <c r="G37" s="77" t="s">
        <v>1229</v>
      </c>
    </row>
    <row r="38" spans="1:7" ht="14.25" customHeight="1">
      <c r="A38" s="404"/>
      <c r="B38" s="665" t="s">
        <v>221</v>
      </c>
      <c r="C38" s="77">
        <v>407</v>
      </c>
      <c r="D38" s="77">
        <v>76934</v>
      </c>
      <c r="E38" s="513">
        <v>140782</v>
      </c>
      <c r="F38" s="77" t="s">
        <v>1229</v>
      </c>
      <c r="G38" s="77" t="s">
        <v>1229</v>
      </c>
    </row>
    <row r="39" spans="1:7" ht="14.25" customHeight="1">
      <c r="A39" s="404"/>
      <c r="B39" s="665" t="s">
        <v>1301</v>
      </c>
      <c r="C39" s="77">
        <v>398</v>
      </c>
      <c r="D39" s="77">
        <v>43687</v>
      </c>
      <c r="E39" s="513">
        <v>23097</v>
      </c>
      <c r="F39" s="77" t="s">
        <v>1229</v>
      </c>
      <c r="G39" s="77" t="s">
        <v>1229</v>
      </c>
    </row>
    <row r="40" spans="1:7" ht="14.25" customHeight="1">
      <c r="A40" s="404"/>
      <c r="B40" s="665" t="s">
        <v>621</v>
      </c>
      <c r="C40" s="77">
        <v>396</v>
      </c>
      <c r="D40" s="77">
        <v>44617</v>
      </c>
      <c r="E40" s="513">
        <v>24152</v>
      </c>
      <c r="F40" s="77" t="s">
        <v>1229</v>
      </c>
      <c r="G40" s="77" t="s">
        <v>1229</v>
      </c>
    </row>
    <row r="41" spans="1:7" ht="14.25" customHeight="1">
      <c r="A41" s="404"/>
      <c r="B41" s="665" t="s">
        <v>206</v>
      </c>
      <c r="C41" s="77">
        <v>426</v>
      </c>
      <c r="D41" s="77">
        <v>44921</v>
      </c>
      <c r="E41" s="513">
        <v>26473</v>
      </c>
      <c r="F41" s="77" t="s">
        <v>1229</v>
      </c>
      <c r="G41" s="77" t="s">
        <v>1229</v>
      </c>
    </row>
    <row r="42" spans="1:7" ht="14.25" customHeight="1">
      <c r="A42" s="481">
        <v>7</v>
      </c>
      <c r="B42" s="1531" t="s">
        <v>1702</v>
      </c>
      <c r="C42" s="1535"/>
      <c r="D42" s="1535"/>
      <c r="E42" s="1535"/>
      <c r="F42" s="77"/>
      <c r="G42" s="77"/>
    </row>
    <row r="43" spans="1:7" ht="14.25" customHeight="1">
      <c r="A43" s="404"/>
      <c r="B43" s="665" t="s">
        <v>1317</v>
      </c>
      <c r="C43" s="77">
        <f t="shared" ref="C43:E44" si="1">C31+C37</f>
        <v>1051</v>
      </c>
      <c r="D43" s="77">
        <f t="shared" si="1"/>
        <v>589324</v>
      </c>
      <c r="E43" s="77">
        <f t="shared" si="1"/>
        <v>4374643</v>
      </c>
      <c r="F43" s="77">
        <f t="shared" ref="F43:G47" si="2">SUM(F31,F37)</f>
        <v>605301</v>
      </c>
      <c r="G43" s="77">
        <f t="shared" si="2"/>
        <v>751085</v>
      </c>
    </row>
    <row r="44" spans="1:7" ht="14.25" customHeight="1">
      <c r="A44" s="404"/>
      <c r="B44" s="665" t="s">
        <v>221</v>
      </c>
      <c r="C44" s="77">
        <f t="shared" si="1"/>
        <v>1064</v>
      </c>
      <c r="D44" s="77">
        <f t="shared" si="1"/>
        <v>605307</v>
      </c>
      <c r="E44" s="77">
        <f t="shared" si="1"/>
        <v>4391695</v>
      </c>
      <c r="F44" s="77">
        <f t="shared" si="2"/>
        <v>684242</v>
      </c>
      <c r="G44" s="77">
        <f t="shared" si="2"/>
        <v>807006</v>
      </c>
    </row>
    <row r="45" spans="1:7" ht="14.25" customHeight="1">
      <c r="A45" s="404"/>
      <c r="B45" s="665" t="s">
        <v>1301</v>
      </c>
      <c r="C45" s="77">
        <f t="shared" ref="C45:E46" si="3">SUM(C33,C39)</f>
        <v>1067</v>
      </c>
      <c r="D45" s="77">
        <f t="shared" si="3"/>
        <v>677112</v>
      </c>
      <c r="E45" s="77">
        <f t="shared" si="3"/>
        <v>8527485</v>
      </c>
      <c r="F45" s="77">
        <f t="shared" si="2"/>
        <v>1872838</v>
      </c>
      <c r="G45" s="77">
        <f t="shared" si="2"/>
        <v>990314</v>
      </c>
    </row>
    <row r="46" spans="1:7" ht="14.25" customHeight="1">
      <c r="A46" s="404"/>
      <c r="B46" s="665" t="s">
        <v>621</v>
      </c>
      <c r="C46" s="77">
        <f t="shared" si="3"/>
        <v>1075</v>
      </c>
      <c r="D46" s="77">
        <f t="shared" si="3"/>
        <v>680455</v>
      </c>
      <c r="E46" s="77">
        <f t="shared" si="3"/>
        <v>8534854</v>
      </c>
      <c r="F46" s="77">
        <f t="shared" si="2"/>
        <v>1879558</v>
      </c>
      <c r="G46" s="77">
        <f t="shared" si="2"/>
        <v>1034220</v>
      </c>
    </row>
    <row r="47" spans="1:7" ht="14.25" customHeight="1">
      <c r="A47" s="1527"/>
      <c r="B47" s="892" t="s">
        <v>206</v>
      </c>
      <c r="C47" s="78">
        <f>SUM(C35,C41)</f>
        <v>1150</v>
      </c>
      <c r="D47" s="78">
        <f>SUM(D35,D41)</f>
        <v>683203</v>
      </c>
      <c r="E47" s="78">
        <f>SUM(E35,E41)</f>
        <v>8554695</v>
      </c>
      <c r="F47" s="78">
        <f t="shared" si="2"/>
        <v>1901579</v>
      </c>
      <c r="G47" s="78">
        <f t="shared" si="2"/>
        <v>1140107</v>
      </c>
    </row>
    <row r="48" spans="1:7">
      <c r="B48" s="1536"/>
      <c r="C48" s="1536"/>
      <c r="D48" s="1536"/>
      <c r="E48" s="1536"/>
      <c r="F48" s="1536"/>
      <c r="G48" s="1537" t="s">
        <v>1436</v>
      </c>
    </row>
  </sheetData>
  <mergeCells count="8">
    <mergeCell ref="A5:B5"/>
    <mergeCell ref="G3:G4"/>
    <mergeCell ref="A1:G1"/>
    <mergeCell ref="A2:G2"/>
    <mergeCell ref="E3:E4"/>
    <mergeCell ref="A3:B4"/>
    <mergeCell ref="C3:D3"/>
    <mergeCell ref="F3:F4"/>
  </mergeCells>
  <phoneticPr fontId="0" type="noConversion"/>
  <printOptions horizontalCentered="1"/>
  <pageMargins left="0.1" right="0.1" top="0.73" bottom="0.1" header="0.7" footer="0.1"/>
  <pageSetup paperSize="9" orientation="portrait" blackAndWhite="1" r:id="rId1"/>
  <headerFooter alignWithMargins="0"/>
</worksheet>
</file>

<file path=xl/worksheets/sheet55.xml><?xml version="1.0" encoding="utf-8"?>
<worksheet xmlns="http://schemas.openxmlformats.org/spreadsheetml/2006/main" xmlns:r="http://schemas.openxmlformats.org/officeDocument/2006/relationships">
  <dimension ref="A1:S30"/>
  <sheetViews>
    <sheetView topLeftCell="A13" workbookViewId="0">
      <selection activeCell="J11" sqref="J11"/>
    </sheetView>
  </sheetViews>
  <sheetFormatPr defaultRowHeight="12.75"/>
  <cols>
    <col min="1" max="1" width="10" style="232" customWidth="1"/>
    <col min="2" max="2" width="6.7109375" style="232" customWidth="1"/>
    <col min="3" max="3" width="7.28515625" style="232" customWidth="1"/>
    <col min="4" max="4" width="8" style="232" customWidth="1"/>
    <col min="5" max="5" width="7.85546875" style="232" customWidth="1"/>
    <col min="6" max="6" width="6.7109375" style="232" customWidth="1"/>
    <col min="7" max="7" width="7.28515625" style="232" customWidth="1"/>
    <col min="8" max="8" width="8" style="232" customWidth="1"/>
    <col min="9" max="9" width="7.85546875" style="232" customWidth="1"/>
    <col min="10" max="10" width="6.7109375" style="232" customWidth="1"/>
    <col min="11" max="11" width="7.28515625" style="232" customWidth="1"/>
    <col min="12" max="12" width="8" style="232" customWidth="1"/>
    <col min="13" max="13" width="7.85546875" style="232" customWidth="1"/>
    <col min="14" max="14" width="6.7109375" style="232" customWidth="1"/>
    <col min="15" max="15" width="7.140625" style="232" customWidth="1"/>
    <col min="16" max="16" width="8" style="232" customWidth="1"/>
    <col min="17" max="17" width="7.85546875" style="232" customWidth="1"/>
    <col min="18" max="18" width="9.5703125" style="232" customWidth="1"/>
    <col min="19" max="16384" width="9.140625" style="232"/>
  </cols>
  <sheetData>
    <row r="1" spans="1:18">
      <c r="A1" s="1739" t="s">
        <v>775</v>
      </c>
      <c r="B1" s="1739"/>
      <c r="C1" s="1739"/>
      <c r="D1" s="1739"/>
      <c r="E1" s="1739"/>
      <c r="F1" s="1739"/>
      <c r="G1" s="1739"/>
      <c r="H1" s="1739"/>
      <c r="I1" s="1739"/>
      <c r="J1" s="1739"/>
      <c r="K1" s="1739"/>
      <c r="L1" s="1739"/>
      <c r="M1" s="1739"/>
      <c r="N1" s="1739"/>
      <c r="O1" s="1739"/>
      <c r="P1" s="1739"/>
      <c r="Q1" s="1739"/>
      <c r="R1" s="1739"/>
    </row>
    <row r="2" spans="1:18" ht="16.5">
      <c r="A2" s="1720" t="str">
        <f>CONCATENATE("Progress of Commercial Banking in the district of ",District!A1)</f>
        <v>Progress of Commercial Banking in the district of South 24-Parganas</v>
      </c>
      <c r="B2" s="1720"/>
      <c r="C2" s="1720"/>
      <c r="D2" s="1720"/>
      <c r="E2" s="1720"/>
      <c r="F2" s="1720"/>
      <c r="G2" s="1720"/>
      <c r="H2" s="1720"/>
      <c r="I2" s="1720"/>
      <c r="J2" s="1720"/>
      <c r="K2" s="1720"/>
      <c r="L2" s="1720"/>
      <c r="M2" s="1720"/>
      <c r="N2" s="1720"/>
      <c r="O2" s="1720"/>
      <c r="P2" s="1720"/>
      <c r="Q2" s="1720"/>
      <c r="R2" s="1720"/>
    </row>
    <row r="3" spans="1:18">
      <c r="B3" s="488"/>
      <c r="C3" s="488"/>
      <c r="D3" s="488"/>
      <c r="E3" s="488"/>
      <c r="F3" s="488"/>
      <c r="G3" s="488"/>
      <c r="H3" s="488"/>
      <c r="I3" s="488"/>
      <c r="J3" s="488"/>
      <c r="K3" s="488"/>
      <c r="L3" s="488"/>
      <c r="M3" s="488"/>
      <c r="N3" s="488"/>
      <c r="O3" s="488"/>
      <c r="P3" s="488"/>
      <c r="Q3" s="1399"/>
      <c r="R3" s="1399"/>
    </row>
    <row r="4" spans="1:18">
      <c r="A4" s="2070" t="s">
        <v>312</v>
      </c>
      <c r="B4" s="1713" t="s">
        <v>1006</v>
      </c>
      <c r="C4" s="1713"/>
      <c r="D4" s="1713"/>
      <c r="E4" s="1714"/>
      <c r="F4" s="1732" t="s">
        <v>1703</v>
      </c>
      <c r="G4" s="1713"/>
      <c r="H4" s="1713"/>
      <c r="I4" s="1714"/>
      <c r="J4" s="1713" t="s">
        <v>1704</v>
      </c>
      <c r="K4" s="1713"/>
      <c r="L4" s="1713"/>
      <c r="M4" s="1713"/>
      <c r="N4" s="1732" t="s">
        <v>958</v>
      </c>
      <c r="O4" s="1713"/>
      <c r="P4" s="1713"/>
      <c r="Q4" s="1714"/>
      <c r="R4" s="2070" t="s">
        <v>580</v>
      </c>
    </row>
    <row r="5" spans="1:18" ht="42.75" customHeight="1">
      <c r="A5" s="2072"/>
      <c r="B5" s="917" t="s">
        <v>394</v>
      </c>
      <c r="C5" s="917" t="s">
        <v>392</v>
      </c>
      <c r="D5" s="917" t="s">
        <v>393</v>
      </c>
      <c r="E5" s="917" t="s">
        <v>97</v>
      </c>
      <c r="F5" s="917" t="s">
        <v>394</v>
      </c>
      <c r="G5" s="917" t="s">
        <v>392</v>
      </c>
      <c r="H5" s="917" t="s">
        <v>393</v>
      </c>
      <c r="I5" s="917" t="s">
        <v>97</v>
      </c>
      <c r="J5" s="917" t="s">
        <v>394</v>
      </c>
      <c r="K5" s="917" t="s">
        <v>392</v>
      </c>
      <c r="L5" s="917" t="s">
        <v>393</v>
      </c>
      <c r="M5" s="917" t="s">
        <v>97</v>
      </c>
      <c r="N5" s="917" t="s">
        <v>394</v>
      </c>
      <c r="O5" s="917" t="s">
        <v>392</v>
      </c>
      <c r="P5" s="917" t="s">
        <v>393</v>
      </c>
      <c r="Q5" s="917" t="s">
        <v>97</v>
      </c>
      <c r="R5" s="2071"/>
    </row>
    <row r="6" spans="1:18" ht="15" customHeight="1">
      <c r="A6" s="194" t="s">
        <v>928</v>
      </c>
      <c r="B6" s="194" t="s">
        <v>929</v>
      </c>
      <c r="C6" s="194" t="s">
        <v>930</v>
      </c>
      <c r="D6" s="194" t="s">
        <v>931</v>
      </c>
      <c r="E6" s="194" t="s">
        <v>932</v>
      </c>
      <c r="F6" s="194" t="s">
        <v>933</v>
      </c>
      <c r="G6" s="194" t="s">
        <v>934</v>
      </c>
      <c r="H6" s="194" t="s">
        <v>959</v>
      </c>
      <c r="I6" s="194" t="s">
        <v>960</v>
      </c>
      <c r="J6" s="194" t="s">
        <v>961</v>
      </c>
      <c r="K6" s="194" t="s">
        <v>962</v>
      </c>
      <c r="L6" s="194" t="s">
        <v>1037</v>
      </c>
      <c r="M6" s="194" t="s">
        <v>1038</v>
      </c>
      <c r="N6" s="195" t="s">
        <v>1039</v>
      </c>
      <c r="O6" s="194" t="s">
        <v>1040</v>
      </c>
      <c r="P6" s="195" t="s">
        <v>1041</v>
      </c>
      <c r="Q6" s="194" t="s">
        <v>1042</v>
      </c>
      <c r="R6" s="194" t="s">
        <v>1044</v>
      </c>
    </row>
    <row r="7" spans="1:18" ht="19.5" customHeight="1">
      <c r="A7" s="1312">
        <v>2010</v>
      </c>
      <c r="B7" s="296">
        <v>206</v>
      </c>
      <c r="C7" s="296">
        <v>3737</v>
      </c>
      <c r="D7" s="308">
        <v>1698</v>
      </c>
      <c r="E7" s="549">
        <f>ROUND(D7/C7*100,2)</f>
        <v>45.44</v>
      </c>
      <c r="F7" s="308">
        <v>64</v>
      </c>
      <c r="G7" s="296">
        <v>2441</v>
      </c>
      <c r="H7" s="296">
        <v>546</v>
      </c>
      <c r="I7" s="1548">
        <f>ROUND(H7/G7*100,2)</f>
        <v>22.37</v>
      </c>
      <c r="J7" s="296">
        <v>27</v>
      </c>
      <c r="K7" s="308">
        <v>1238</v>
      </c>
      <c r="L7" s="296">
        <v>153</v>
      </c>
      <c r="M7" s="1548">
        <f>ROUND(L7/K7*100,2)</f>
        <v>12.36</v>
      </c>
      <c r="N7" s="661">
        <v>297</v>
      </c>
      <c r="O7" s="296">
        <v>7416</v>
      </c>
      <c r="P7" s="308">
        <v>2397</v>
      </c>
      <c r="Q7" s="549">
        <f>ROUND(P7/O7*100,2)</f>
        <v>32.32</v>
      </c>
      <c r="R7" s="296" t="s">
        <v>581</v>
      </c>
    </row>
    <row r="8" spans="1:18" ht="19.5" customHeight="1">
      <c r="A8" s="876">
        <v>2011</v>
      </c>
      <c r="B8" s="77">
        <v>221</v>
      </c>
      <c r="C8" s="77">
        <v>4673</v>
      </c>
      <c r="D8" s="39">
        <v>2473</v>
      </c>
      <c r="E8" s="279">
        <f>ROUND(D8/C8*100,2)</f>
        <v>52.92</v>
      </c>
      <c r="F8" s="39">
        <v>72</v>
      </c>
      <c r="G8" s="77">
        <v>2943</v>
      </c>
      <c r="H8" s="77">
        <v>631</v>
      </c>
      <c r="I8" s="321">
        <f>ROUND(H8/G8*100,2)</f>
        <v>21.44</v>
      </c>
      <c r="J8" s="77">
        <v>29</v>
      </c>
      <c r="K8" s="39">
        <v>1557</v>
      </c>
      <c r="L8" s="77">
        <v>227</v>
      </c>
      <c r="M8" s="321">
        <f>ROUND(L8/K8*100,2)</f>
        <v>14.58</v>
      </c>
      <c r="N8" s="261">
        <v>322</v>
      </c>
      <c r="O8" s="77">
        <v>9172</v>
      </c>
      <c r="P8" s="39">
        <v>3331</v>
      </c>
      <c r="Q8" s="279">
        <f>ROUND(P8/O8*100,2)</f>
        <v>36.32</v>
      </c>
      <c r="R8" s="77">
        <f>ROUND('2.2'!$C$46/1000/'7.2,7.3'!N8,0)</f>
        <v>25</v>
      </c>
    </row>
    <row r="9" spans="1:18" ht="19.5" customHeight="1">
      <c r="A9" s="876">
        <v>2012</v>
      </c>
      <c r="B9" s="77">
        <v>241</v>
      </c>
      <c r="C9" s="77">
        <v>5913</v>
      </c>
      <c r="D9" s="39">
        <v>3121</v>
      </c>
      <c r="E9" s="279">
        <f>ROUND(D9/C9*100,2)</f>
        <v>52.78</v>
      </c>
      <c r="F9" s="39">
        <v>85</v>
      </c>
      <c r="G9" s="77">
        <v>3709</v>
      </c>
      <c r="H9" s="77">
        <v>996</v>
      </c>
      <c r="I9" s="321">
        <f>ROUND(H9/G9*100,2)</f>
        <v>26.85</v>
      </c>
      <c r="J9" s="77">
        <v>30</v>
      </c>
      <c r="K9" s="39">
        <v>2017</v>
      </c>
      <c r="L9" s="77">
        <v>269</v>
      </c>
      <c r="M9" s="321">
        <f>ROUND(L9/K9*100,2)</f>
        <v>13.34</v>
      </c>
      <c r="N9" s="261">
        <f t="shared" ref="N9:P10" si="0">SUM(B9,F9,J9)</f>
        <v>356</v>
      </c>
      <c r="O9" s="77">
        <f t="shared" si="0"/>
        <v>11639</v>
      </c>
      <c r="P9" s="39">
        <f t="shared" si="0"/>
        <v>4386</v>
      </c>
      <c r="Q9" s="279">
        <f>ROUND(P9/O9*100,2)</f>
        <v>37.68</v>
      </c>
      <c r="R9" s="77">
        <f>ROUND('2.2'!$C$46/1000/'7.2,7.3'!N9,0)</f>
        <v>23</v>
      </c>
    </row>
    <row r="10" spans="1:18" ht="19.5" customHeight="1">
      <c r="A10" s="876">
        <v>2013</v>
      </c>
      <c r="B10" s="77">
        <v>250</v>
      </c>
      <c r="C10" s="77">
        <v>7156</v>
      </c>
      <c r="D10" s="39">
        <v>3373</v>
      </c>
      <c r="E10" s="279">
        <f>ROUND(D10/C10*100,2)</f>
        <v>47.14</v>
      </c>
      <c r="F10" s="39">
        <v>98</v>
      </c>
      <c r="G10" s="77">
        <v>4480</v>
      </c>
      <c r="H10" s="77">
        <v>1011</v>
      </c>
      <c r="I10" s="321">
        <f>ROUND(H10/G10*100,2)</f>
        <v>22.57</v>
      </c>
      <c r="J10" s="77">
        <v>32</v>
      </c>
      <c r="K10" s="39">
        <v>2491</v>
      </c>
      <c r="L10" s="77">
        <v>308</v>
      </c>
      <c r="M10" s="321">
        <f>ROUND(L10/K10*100,2)</f>
        <v>12.36</v>
      </c>
      <c r="N10" s="261">
        <f t="shared" si="0"/>
        <v>380</v>
      </c>
      <c r="O10" s="77">
        <f t="shared" si="0"/>
        <v>14127</v>
      </c>
      <c r="P10" s="39">
        <f t="shared" si="0"/>
        <v>4692</v>
      </c>
      <c r="Q10" s="279">
        <f>ROUND(P10/O10*100,2)</f>
        <v>33.21</v>
      </c>
      <c r="R10" s="77">
        <f>ROUND('2.2'!$C$46/1000/'7.2,7.3'!N10,0)</f>
        <v>21</v>
      </c>
    </row>
    <row r="11" spans="1:18" ht="19.5" customHeight="1">
      <c r="A11" s="675">
        <v>2014</v>
      </c>
      <c r="B11" s="78">
        <v>270</v>
      </c>
      <c r="C11" s="78">
        <v>8809</v>
      </c>
      <c r="D11" s="25">
        <v>3403</v>
      </c>
      <c r="E11" s="538">
        <f>ROUND(D11/C11*100,2)</f>
        <v>38.630000000000003</v>
      </c>
      <c r="F11" s="25">
        <v>107</v>
      </c>
      <c r="G11" s="78">
        <v>5416</v>
      </c>
      <c r="H11" s="78">
        <v>1017</v>
      </c>
      <c r="I11" s="538">
        <f>ROUND(H11/G11*100,2)</f>
        <v>18.78</v>
      </c>
      <c r="J11" s="78">
        <v>39</v>
      </c>
      <c r="K11" s="25">
        <v>3191</v>
      </c>
      <c r="L11" s="78">
        <v>354</v>
      </c>
      <c r="M11" s="538">
        <f>ROUND(L11/K11*100,2)</f>
        <v>11.09</v>
      </c>
      <c r="N11" s="74">
        <f t="shared" ref="N11:P11" si="1">SUM(B11,F11,J11)</f>
        <v>416</v>
      </c>
      <c r="O11" s="78">
        <f t="shared" si="1"/>
        <v>17416</v>
      </c>
      <c r="P11" s="25">
        <f t="shared" si="1"/>
        <v>4774</v>
      </c>
      <c r="Q11" s="538">
        <f>ROUND(P11/O11*100,2)</f>
        <v>27.41</v>
      </c>
      <c r="R11" s="78">
        <f>ROUND('2.2'!$C$46/1000/'7.2,7.3'!N11,0)</f>
        <v>20</v>
      </c>
    </row>
    <row r="12" spans="1:18" ht="12.75" customHeight="1">
      <c r="A12" s="1400" t="s">
        <v>1363</v>
      </c>
      <c r="B12" s="1401" t="s">
        <v>1439</v>
      </c>
      <c r="C12" s="1401"/>
      <c r="D12" s="1401"/>
      <c r="E12" s="1401"/>
      <c r="F12" s="1401"/>
      <c r="G12" s="1401"/>
      <c r="H12" s="1401"/>
      <c r="I12" s="1401"/>
      <c r="J12" s="1203"/>
      <c r="K12" s="1203"/>
      <c r="L12" s="1157" t="s">
        <v>311</v>
      </c>
      <c r="M12" s="2073" t="s">
        <v>59</v>
      </c>
      <c r="N12" s="2073"/>
      <c r="O12" s="2073"/>
      <c r="P12" s="2073"/>
      <c r="Q12" s="2073"/>
      <c r="R12" s="2073"/>
    </row>
    <row r="13" spans="1:18">
      <c r="A13" s="1203"/>
      <c r="B13" s="1401" t="s">
        <v>1712</v>
      </c>
      <c r="C13" s="1401"/>
      <c r="D13" s="1401"/>
      <c r="E13" s="1401"/>
      <c r="F13" s="1401"/>
      <c r="G13" s="1401"/>
      <c r="H13" s="1401"/>
      <c r="I13" s="1401"/>
      <c r="J13" s="1401"/>
      <c r="K13" s="1401"/>
      <c r="L13" s="1203"/>
      <c r="M13" s="2074"/>
      <c r="N13" s="2074"/>
      <c r="O13" s="2074"/>
      <c r="P13" s="2074"/>
      <c r="Q13" s="2074"/>
      <c r="R13" s="2074"/>
    </row>
    <row r="14" spans="1:18">
      <c r="A14" s="1203"/>
      <c r="B14" s="1401" t="s">
        <v>1713</v>
      </c>
      <c r="C14" s="1401"/>
      <c r="D14" s="1401"/>
      <c r="E14" s="1401"/>
      <c r="F14" s="1401"/>
      <c r="G14" s="1401"/>
      <c r="H14" s="1401"/>
      <c r="I14" s="1401"/>
      <c r="J14" s="1401"/>
      <c r="K14" s="1203"/>
      <c r="L14" s="1203"/>
      <c r="M14" s="1402"/>
      <c r="N14" s="1402"/>
      <c r="O14" s="1403"/>
      <c r="P14" s="1403"/>
      <c r="Q14" s="1403"/>
      <c r="R14" s="1403"/>
    </row>
    <row r="15" spans="1:18">
      <c r="A15" s="1203"/>
      <c r="B15" s="1401" t="s">
        <v>37</v>
      </c>
      <c r="C15" s="1401"/>
      <c r="D15" s="1401"/>
      <c r="E15" s="1401"/>
      <c r="F15" s="1401"/>
      <c r="G15" s="1401"/>
      <c r="H15" s="1401"/>
      <c r="I15" s="1401"/>
      <c r="J15" s="1203"/>
      <c r="K15" s="1203"/>
      <c r="L15" s="1203"/>
      <c r="M15" s="1203"/>
      <c r="N15" s="1203"/>
      <c r="O15" s="1203"/>
      <c r="P15" s="1203"/>
      <c r="Q15" s="1203"/>
      <c r="R15" s="1203"/>
    </row>
    <row r="16" spans="1:18" ht="13.5">
      <c r="A16" s="1458" t="s">
        <v>984</v>
      </c>
    </row>
    <row r="17" spans="1:19">
      <c r="A17" s="1459" t="s">
        <v>1794</v>
      </c>
      <c r="S17" s="1203"/>
    </row>
    <row r="18" spans="1:19">
      <c r="S18" s="1203"/>
    </row>
    <row r="19" spans="1:19">
      <c r="C19" s="1739" t="s">
        <v>776</v>
      </c>
      <c r="D19" s="1739"/>
      <c r="E19" s="1739"/>
      <c r="F19" s="1739"/>
      <c r="G19" s="1739"/>
      <c r="H19" s="1739"/>
      <c r="I19" s="1739"/>
      <c r="J19" s="1739"/>
      <c r="K19" s="1739"/>
      <c r="L19" s="1739"/>
      <c r="M19" s="1739"/>
      <c r="N19" s="1739"/>
      <c r="O19" s="1739"/>
      <c r="P19" s="1739"/>
      <c r="Q19" s="288"/>
      <c r="R19" s="288"/>
    </row>
    <row r="20" spans="1:19" ht="19.5" customHeight="1">
      <c r="C20" s="1766" t="str">
        <f>CONCATENATE("Progress of L.I.C. in the district of ",District!A1)</f>
        <v>Progress of L.I.C. in the district of South 24-Parganas</v>
      </c>
      <c r="D20" s="1766"/>
      <c r="E20" s="1766"/>
      <c r="F20" s="1766"/>
      <c r="G20" s="1766"/>
      <c r="H20" s="1766"/>
      <c r="I20" s="1766"/>
      <c r="J20" s="1766"/>
      <c r="K20" s="1766"/>
      <c r="L20" s="1766"/>
      <c r="M20" s="1766"/>
      <c r="N20" s="1766"/>
      <c r="O20" s="1766"/>
      <c r="P20" s="1766"/>
    </row>
    <row r="21" spans="1:19">
      <c r="C21" s="1723" t="s">
        <v>671</v>
      </c>
      <c r="D21" s="1724"/>
      <c r="E21" s="1732" t="s">
        <v>1716</v>
      </c>
      <c r="F21" s="1713"/>
      <c r="G21" s="1713"/>
      <c r="H21" s="1714"/>
      <c r="I21" s="1713" t="s">
        <v>1826</v>
      </c>
      <c r="J21" s="1713"/>
      <c r="K21" s="1713"/>
      <c r="L21" s="1713"/>
      <c r="M21" s="1732" t="s">
        <v>1717</v>
      </c>
      <c r="N21" s="1713"/>
      <c r="O21" s="1713"/>
      <c r="P21" s="1714"/>
    </row>
    <row r="22" spans="1:19" ht="52.5" customHeight="1">
      <c r="C22" s="1725"/>
      <c r="D22" s="1726"/>
      <c r="E22" s="1782" t="s">
        <v>985</v>
      </c>
      <c r="F22" s="1714"/>
      <c r="G22" s="1782" t="s">
        <v>395</v>
      </c>
      <c r="H22" s="1783"/>
      <c r="I22" s="1782" t="s">
        <v>592</v>
      </c>
      <c r="J22" s="1783"/>
      <c r="K22" s="1782" t="s">
        <v>1719</v>
      </c>
      <c r="L22" s="1783"/>
      <c r="M22" s="1782" t="s">
        <v>1503</v>
      </c>
      <c r="N22" s="1783"/>
      <c r="O22" s="1782" t="s">
        <v>396</v>
      </c>
      <c r="P22" s="1783"/>
    </row>
    <row r="23" spans="1:19" ht="15.75" customHeight="1">
      <c r="C23" s="1716" t="s">
        <v>928</v>
      </c>
      <c r="D23" s="1797"/>
      <c r="E23" s="1716" t="s">
        <v>929</v>
      </c>
      <c r="F23" s="1797"/>
      <c r="G23" s="1716" t="s">
        <v>930</v>
      </c>
      <c r="H23" s="1797"/>
      <c r="I23" s="1716" t="s">
        <v>931</v>
      </c>
      <c r="J23" s="1797"/>
      <c r="K23" s="1716" t="s">
        <v>932</v>
      </c>
      <c r="L23" s="1797"/>
      <c r="M23" s="1716" t="s">
        <v>933</v>
      </c>
      <c r="N23" s="1797"/>
      <c r="O23" s="1716" t="s">
        <v>934</v>
      </c>
      <c r="P23" s="1797"/>
    </row>
    <row r="24" spans="1:19" ht="18" customHeight="1">
      <c r="C24" s="2075" t="s">
        <v>1317</v>
      </c>
      <c r="D24" s="2076"/>
      <c r="E24" s="2040">
        <v>199882</v>
      </c>
      <c r="F24" s="1963"/>
      <c r="G24" s="2040">
        <v>159.16999999999999</v>
      </c>
      <c r="H24" s="1963"/>
      <c r="I24" s="2040">
        <v>2387733</v>
      </c>
      <c r="J24" s="1963"/>
      <c r="K24" s="2040">
        <v>2474100</v>
      </c>
      <c r="L24" s="1963"/>
      <c r="M24" s="2040">
        <v>21264</v>
      </c>
      <c r="N24" s="1963"/>
      <c r="O24" s="2040">
        <v>889400</v>
      </c>
      <c r="P24" s="1963"/>
    </row>
    <row r="25" spans="1:19" ht="18" customHeight="1">
      <c r="C25" s="2079" t="s">
        <v>221</v>
      </c>
      <c r="D25" s="2080"/>
      <c r="E25" s="1791">
        <v>166043</v>
      </c>
      <c r="F25" s="2039"/>
      <c r="G25" s="2020">
        <v>1694.6</v>
      </c>
      <c r="H25" s="2021"/>
      <c r="I25" s="1791">
        <v>2292337</v>
      </c>
      <c r="J25" s="2039"/>
      <c r="K25" s="1791">
        <v>3801607</v>
      </c>
      <c r="L25" s="2039"/>
      <c r="M25" s="1791">
        <v>22025</v>
      </c>
      <c r="N25" s="2039"/>
      <c r="O25" s="1791">
        <v>662000</v>
      </c>
      <c r="P25" s="2039"/>
    </row>
    <row r="26" spans="1:19" ht="18" customHeight="1">
      <c r="C26" s="2079" t="s">
        <v>1301</v>
      </c>
      <c r="D26" s="2080"/>
      <c r="E26" s="1791">
        <v>124329</v>
      </c>
      <c r="F26" s="2039"/>
      <c r="G26" s="2020">
        <v>1523.9</v>
      </c>
      <c r="H26" s="2021"/>
      <c r="I26" s="1791">
        <v>5679871</v>
      </c>
      <c r="J26" s="2039"/>
      <c r="K26" s="1791">
        <v>10846038</v>
      </c>
      <c r="L26" s="2039"/>
      <c r="M26" s="1791">
        <v>39689</v>
      </c>
      <c r="N26" s="2039"/>
      <c r="O26" s="1791">
        <v>13848</v>
      </c>
      <c r="P26" s="2039"/>
    </row>
    <row r="27" spans="1:19" ht="18" customHeight="1">
      <c r="C27" s="2079" t="s">
        <v>621</v>
      </c>
      <c r="D27" s="2080"/>
      <c r="E27" s="1791">
        <v>109266</v>
      </c>
      <c r="F27" s="2039"/>
      <c r="G27" s="2020">
        <v>1411.34</v>
      </c>
      <c r="H27" s="2021"/>
      <c r="I27" s="1791">
        <v>880135</v>
      </c>
      <c r="J27" s="2039"/>
      <c r="K27" s="1791">
        <v>3506719</v>
      </c>
      <c r="L27" s="2039"/>
      <c r="M27" s="1791">
        <v>18221</v>
      </c>
      <c r="N27" s="2039"/>
      <c r="O27" s="1791">
        <v>437414</v>
      </c>
      <c r="P27" s="2039"/>
    </row>
    <row r="28" spans="1:19" ht="18" customHeight="1">
      <c r="C28" s="2068" t="s">
        <v>206</v>
      </c>
      <c r="D28" s="2069"/>
      <c r="E28" s="1806">
        <v>141571</v>
      </c>
      <c r="F28" s="1964"/>
      <c r="G28" s="2022">
        <v>1850.12</v>
      </c>
      <c r="H28" s="2018"/>
      <c r="I28" s="1806">
        <v>1244069</v>
      </c>
      <c r="J28" s="1964"/>
      <c r="K28" s="1806">
        <v>2708816</v>
      </c>
      <c r="L28" s="1964"/>
      <c r="M28" s="1806">
        <v>19253</v>
      </c>
      <c r="N28" s="1964"/>
      <c r="O28" s="1806">
        <v>532537</v>
      </c>
      <c r="P28" s="1964"/>
    </row>
    <row r="29" spans="1:19">
      <c r="C29" s="1318" t="s">
        <v>1437</v>
      </c>
      <c r="D29" s="2077" t="s">
        <v>1438</v>
      </c>
      <c r="E29" s="2077"/>
      <c r="F29" s="2077"/>
      <c r="G29" s="2077"/>
      <c r="H29" s="2077"/>
      <c r="I29" s="2077"/>
      <c r="J29" s="1318"/>
      <c r="K29" s="1318"/>
      <c r="L29" s="1318"/>
      <c r="M29" s="1318"/>
      <c r="N29" s="1203"/>
      <c r="O29" s="1203"/>
      <c r="P29" s="1162" t="s">
        <v>774</v>
      </c>
    </row>
    <row r="30" spans="1:19">
      <c r="C30" s="1203"/>
      <c r="D30" s="2078"/>
      <c r="E30" s="2078"/>
      <c r="F30" s="2078"/>
      <c r="G30" s="2078"/>
      <c r="H30" s="2078"/>
      <c r="I30" s="2078"/>
      <c r="J30" s="1203"/>
      <c r="K30" s="1203"/>
      <c r="L30" s="1203"/>
      <c r="M30" s="1203"/>
      <c r="N30" s="1203"/>
      <c r="O30" s="1203"/>
      <c r="P30" s="1203"/>
    </row>
  </sheetData>
  <mergeCells count="64">
    <mergeCell ref="K22:L22"/>
    <mergeCell ref="M22:N22"/>
    <mergeCell ref="M23:N23"/>
    <mergeCell ref="D29:I30"/>
    <mergeCell ref="C19:P19"/>
    <mergeCell ref="O28:P28"/>
    <mergeCell ref="C25:D25"/>
    <mergeCell ref="C26:D26"/>
    <mergeCell ref="C27:D27"/>
    <mergeCell ref="E27:F27"/>
    <mergeCell ref="G27:H27"/>
    <mergeCell ref="C20:P20"/>
    <mergeCell ref="C21:D22"/>
    <mergeCell ref="I24:J24"/>
    <mergeCell ref="M24:N24"/>
    <mergeCell ref="K28:L28"/>
    <mergeCell ref="A1:R1"/>
    <mergeCell ref="A2:R2"/>
    <mergeCell ref="G25:H25"/>
    <mergeCell ref="G26:H26"/>
    <mergeCell ref="E22:F22"/>
    <mergeCell ref="E23:F23"/>
    <mergeCell ref="E24:F24"/>
    <mergeCell ref="E25:F25"/>
    <mergeCell ref="E26:F26"/>
    <mergeCell ref="G22:H22"/>
    <mergeCell ref="G24:H24"/>
    <mergeCell ref="C24:D24"/>
    <mergeCell ref="K26:L26"/>
    <mergeCell ref="M21:P21"/>
    <mergeCell ref="E21:H21"/>
    <mergeCell ref="I21:L21"/>
    <mergeCell ref="R4:R5"/>
    <mergeCell ref="A4:A5"/>
    <mergeCell ref="B4:E4"/>
    <mergeCell ref="F4:I4"/>
    <mergeCell ref="O24:P24"/>
    <mergeCell ref="J4:M4"/>
    <mergeCell ref="N4:Q4"/>
    <mergeCell ref="I22:J22"/>
    <mergeCell ref="I23:J23"/>
    <mergeCell ref="M12:R13"/>
    <mergeCell ref="K23:L23"/>
    <mergeCell ref="K24:L24"/>
    <mergeCell ref="C23:D23"/>
    <mergeCell ref="O22:P22"/>
    <mergeCell ref="O23:P23"/>
    <mergeCell ref="G23:H23"/>
    <mergeCell ref="O26:P26"/>
    <mergeCell ref="M25:N25"/>
    <mergeCell ref="M26:N26"/>
    <mergeCell ref="C28:D28"/>
    <mergeCell ref="E28:F28"/>
    <mergeCell ref="G28:H28"/>
    <mergeCell ref="I28:J28"/>
    <mergeCell ref="O27:P27"/>
    <mergeCell ref="O25:P25"/>
    <mergeCell ref="M28:N28"/>
    <mergeCell ref="I27:J27"/>
    <mergeCell ref="K27:L27"/>
    <mergeCell ref="M27:N27"/>
    <mergeCell ref="K25:L25"/>
    <mergeCell ref="I25:J25"/>
    <mergeCell ref="I26:J26"/>
  </mergeCells>
  <phoneticPr fontId="0" type="noConversion"/>
  <printOptions horizontalCentered="1"/>
  <pageMargins left="0.1" right="0.1" top="0.63" bottom="0.1" header="0.63" footer="0.1"/>
  <pageSetup paperSize="9" orientation="landscape" blackAndWhite="1" r:id="rId1"/>
  <headerFooter alignWithMargins="0"/>
</worksheet>
</file>

<file path=xl/worksheets/sheet56.xml><?xml version="1.0" encoding="utf-8"?>
<worksheet xmlns="http://schemas.openxmlformats.org/spreadsheetml/2006/main" xmlns:r="http://schemas.openxmlformats.org/officeDocument/2006/relationships">
  <dimension ref="A1:P58"/>
  <sheetViews>
    <sheetView topLeftCell="A16" workbookViewId="0">
      <selection activeCell="J11" sqref="J11"/>
    </sheetView>
  </sheetViews>
  <sheetFormatPr defaultRowHeight="12.75"/>
  <cols>
    <col min="1" max="1" width="24.28515625" customWidth="1"/>
    <col min="2" max="2" width="12.140625" customWidth="1"/>
    <col min="3" max="3" width="13.28515625" customWidth="1"/>
    <col min="4" max="4" width="12.140625" customWidth="1"/>
    <col min="5" max="5" width="13.7109375" customWidth="1"/>
    <col min="6" max="6" width="12.140625" customWidth="1"/>
  </cols>
  <sheetData>
    <row r="1" spans="1:16" ht="12" customHeight="1">
      <c r="A1" s="1823" t="s">
        <v>503</v>
      </c>
      <c r="B1" s="1823"/>
      <c r="C1" s="1823"/>
      <c r="D1" s="1823"/>
      <c r="E1" s="1823"/>
      <c r="F1" s="1823"/>
    </row>
    <row r="2" spans="1:16" ht="32.25" customHeight="1">
      <c r="A2" s="2085" t="s">
        <v>1749</v>
      </c>
      <c r="B2" s="2085"/>
      <c r="C2" s="2085"/>
      <c r="D2" s="2085"/>
      <c r="E2" s="2085"/>
      <c r="F2" s="2085"/>
    </row>
    <row r="3" spans="1:16" s="153" customFormat="1" ht="12" customHeight="1">
      <c r="C3" s="1070"/>
      <c r="F3" s="1071" t="s">
        <v>977</v>
      </c>
    </row>
    <row r="4" spans="1:16" ht="18.75" customHeight="1">
      <c r="A4" s="2086" t="s">
        <v>671</v>
      </c>
      <c r="B4" s="2087"/>
      <c r="C4" s="2092" t="s">
        <v>672</v>
      </c>
      <c r="D4" s="2092"/>
      <c r="E4" s="2093" t="s">
        <v>1720</v>
      </c>
      <c r="F4" s="2093"/>
      <c r="K4" s="7"/>
      <c r="L4" s="7"/>
      <c r="M4" s="7"/>
      <c r="N4" s="7"/>
      <c r="O4" s="7"/>
      <c r="P4" s="7"/>
    </row>
    <row r="5" spans="1:16" ht="16.5" customHeight="1">
      <c r="A5" s="2088"/>
      <c r="B5" s="2089"/>
      <c r="C5" s="160" t="s">
        <v>685</v>
      </c>
      <c r="D5" s="160" t="s">
        <v>686</v>
      </c>
      <c r="E5" s="160" t="s">
        <v>685</v>
      </c>
      <c r="F5" s="161" t="s">
        <v>686</v>
      </c>
      <c r="K5" s="7"/>
      <c r="L5" s="7"/>
      <c r="M5" s="7"/>
      <c r="N5" s="7"/>
      <c r="O5" s="7"/>
      <c r="P5" s="7"/>
    </row>
    <row r="6" spans="1:16" ht="14.25" customHeight="1">
      <c r="A6" s="2090" t="s">
        <v>928</v>
      </c>
      <c r="B6" s="2091"/>
      <c r="C6" s="1072" t="s">
        <v>929</v>
      </c>
      <c r="D6" s="1072" t="s">
        <v>930</v>
      </c>
      <c r="E6" s="1072" t="s">
        <v>931</v>
      </c>
      <c r="F6" s="1073" t="s">
        <v>932</v>
      </c>
      <c r="K6" s="7"/>
      <c r="L6" s="7"/>
      <c r="M6" s="7"/>
      <c r="N6" s="7"/>
      <c r="O6" s="7"/>
      <c r="P6" s="7"/>
    </row>
    <row r="7" spans="1:16" ht="16.5" customHeight="1">
      <c r="A7" s="2081" t="s">
        <v>1317</v>
      </c>
      <c r="B7" s="2082"/>
      <c r="C7" s="296">
        <v>903</v>
      </c>
      <c r="D7" s="296">
        <v>3795</v>
      </c>
      <c r="E7" s="305">
        <v>11327</v>
      </c>
      <c r="F7" s="296">
        <v>48845</v>
      </c>
      <c r="G7" s="39"/>
      <c r="K7" s="7"/>
      <c r="L7" s="7"/>
      <c r="M7" s="7"/>
      <c r="N7" s="7"/>
      <c r="O7" s="7"/>
      <c r="P7" s="7"/>
    </row>
    <row r="8" spans="1:16" ht="16.5" customHeight="1">
      <c r="A8" s="2083" t="s">
        <v>221</v>
      </c>
      <c r="B8" s="2084"/>
      <c r="C8" s="77">
        <v>959</v>
      </c>
      <c r="D8" s="77">
        <v>4754</v>
      </c>
      <c r="E8" s="82">
        <v>11575</v>
      </c>
      <c r="F8" s="77">
        <v>60420</v>
      </c>
      <c r="G8" s="39"/>
      <c r="K8" s="7"/>
      <c r="L8" s="7"/>
      <c r="M8" s="7"/>
      <c r="N8" s="7"/>
      <c r="O8" s="7"/>
      <c r="P8" s="7"/>
    </row>
    <row r="9" spans="1:16" ht="16.5" customHeight="1">
      <c r="A9" s="2083" t="s">
        <v>1301</v>
      </c>
      <c r="B9" s="2084"/>
      <c r="C9" s="77">
        <v>1056</v>
      </c>
      <c r="D9" s="77">
        <v>5810</v>
      </c>
      <c r="E9" s="82">
        <v>13745</v>
      </c>
      <c r="F9" s="77">
        <v>74165</v>
      </c>
      <c r="G9" s="39"/>
      <c r="K9" s="7"/>
      <c r="L9" s="7"/>
      <c r="M9" s="7"/>
      <c r="N9" s="7"/>
      <c r="O9" s="7"/>
      <c r="P9" s="7"/>
    </row>
    <row r="10" spans="1:16" ht="16.5" customHeight="1">
      <c r="A10" s="2083" t="s">
        <v>621</v>
      </c>
      <c r="B10" s="2084"/>
      <c r="C10" s="77">
        <v>963</v>
      </c>
      <c r="D10" s="77">
        <v>6773</v>
      </c>
      <c r="E10" s="82">
        <v>11493</v>
      </c>
      <c r="F10" s="77">
        <v>85658</v>
      </c>
      <c r="G10" s="39"/>
      <c r="K10" s="7"/>
      <c r="L10" s="7"/>
      <c r="M10" s="7"/>
      <c r="N10" s="7"/>
      <c r="O10" s="7"/>
      <c r="P10" s="7"/>
    </row>
    <row r="11" spans="1:16" ht="16.5" customHeight="1">
      <c r="A11" s="2094" t="s">
        <v>206</v>
      </c>
      <c r="B11" s="2095"/>
      <c r="C11" s="78">
        <v>905</v>
      </c>
      <c r="D11" s="78">
        <v>7678</v>
      </c>
      <c r="E11" s="75">
        <v>10779</v>
      </c>
      <c r="F11" s="78">
        <v>96437</v>
      </c>
      <c r="G11" s="8"/>
      <c r="K11" s="7"/>
      <c r="L11" s="7"/>
      <c r="M11" s="7"/>
      <c r="N11" s="7"/>
      <c r="O11" s="7"/>
      <c r="P11" s="7"/>
    </row>
    <row r="12" spans="1:16" ht="12.75" customHeight="1">
      <c r="C12" s="1137" t="s">
        <v>311</v>
      </c>
      <c r="D12" s="2097" t="s">
        <v>504</v>
      </c>
      <c r="E12" s="2097"/>
      <c r="F12" s="2097"/>
    </row>
    <row r="13" spans="1:16" ht="11.25" customHeight="1">
      <c r="C13" s="1009"/>
      <c r="D13" s="2097"/>
      <c r="E13" s="2097"/>
      <c r="F13" s="2097"/>
    </row>
    <row r="14" spans="1:16" ht="12.95" customHeight="1">
      <c r="A14" s="557"/>
      <c r="B14" s="557"/>
      <c r="C14" s="557"/>
      <c r="D14" s="557"/>
      <c r="E14" s="557"/>
      <c r="F14" s="1075"/>
    </row>
    <row r="15" spans="1:16" ht="12.4" customHeight="1">
      <c r="A15" s="1948" t="s">
        <v>216</v>
      </c>
      <c r="B15" s="1948"/>
      <c r="C15" s="1948"/>
      <c r="D15" s="1948"/>
      <c r="E15" s="1948"/>
      <c r="F15" s="1948"/>
    </row>
    <row r="16" spans="1:16" ht="12.75" customHeight="1">
      <c r="A16" s="1771" t="str">
        <f>CONCATENATE("Mouzas Electrified in the district of ",District!A1)</f>
        <v>Mouzas Electrified in the district of South 24-Parganas</v>
      </c>
      <c r="B16" s="1771"/>
      <c r="C16" s="1771"/>
      <c r="D16" s="1771"/>
      <c r="E16" s="1771"/>
      <c r="F16" s="1771"/>
    </row>
    <row r="17" spans="1:6" ht="12" customHeight="1">
      <c r="B17" s="7"/>
      <c r="F17" s="113" t="s">
        <v>977</v>
      </c>
    </row>
    <row r="18" spans="1:6" ht="12.75" customHeight="1">
      <c r="A18" s="1721" t="s">
        <v>1746</v>
      </c>
      <c r="B18" s="2012" t="s">
        <v>1414</v>
      </c>
      <c r="C18" s="2096"/>
      <c r="D18" s="2096"/>
      <c r="E18" s="2096"/>
      <c r="F18" s="2013"/>
    </row>
    <row r="19" spans="1:6" ht="12.75" customHeight="1">
      <c r="A19" s="1722"/>
      <c r="B19" s="700">
        <v>2010</v>
      </c>
      <c r="C19" s="700">
        <v>2011</v>
      </c>
      <c r="D19" s="700">
        <v>2012</v>
      </c>
      <c r="E19" s="700">
        <v>2013</v>
      </c>
      <c r="F19" s="700">
        <v>2014</v>
      </c>
    </row>
    <row r="20" spans="1:6" ht="12.75" customHeight="1">
      <c r="A20" s="199" t="s">
        <v>928</v>
      </c>
      <c r="B20" s="120" t="s">
        <v>929</v>
      </c>
      <c r="C20" s="199" t="s">
        <v>930</v>
      </c>
      <c r="D20" s="199" t="s">
        <v>931</v>
      </c>
      <c r="E20" s="199" t="s">
        <v>932</v>
      </c>
      <c r="F20" s="304" t="s">
        <v>933</v>
      </c>
    </row>
    <row r="21" spans="1:6" ht="12.75" customHeight="1">
      <c r="A21" s="350" t="s">
        <v>24</v>
      </c>
      <c r="B21" s="171">
        <f>SUM(B22:B26)</f>
        <v>266</v>
      </c>
      <c r="C21" s="171">
        <f>SUM(C22:C26)</f>
        <v>266</v>
      </c>
      <c r="D21" s="171">
        <f>SUM(D22:D26)</f>
        <v>266</v>
      </c>
      <c r="E21" s="171">
        <f>SUM(E22:E26)</f>
        <v>266</v>
      </c>
      <c r="F21" s="171">
        <f>SUM(F22:F26)</f>
        <v>266</v>
      </c>
    </row>
    <row r="22" spans="1:6" ht="12.75" customHeight="1">
      <c r="A22" s="1088" t="s">
        <v>757</v>
      </c>
      <c r="B22" s="392">
        <v>39</v>
      </c>
      <c r="C22" s="392">
        <v>39</v>
      </c>
      <c r="D22" s="392">
        <v>39</v>
      </c>
      <c r="E22" s="392">
        <v>39</v>
      </c>
      <c r="F22" s="392">
        <v>39</v>
      </c>
    </row>
    <row r="23" spans="1:6" ht="12.75" customHeight="1">
      <c r="A23" s="1088" t="s">
        <v>1214</v>
      </c>
      <c r="B23" s="392">
        <v>86</v>
      </c>
      <c r="C23" s="392">
        <v>86</v>
      </c>
      <c r="D23" s="392">
        <v>86</v>
      </c>
      <c r="E23" s="392">
        <v>86</v>
      </c>
      <c r="F23" s="392">
        <v>86</v>
      </c>
    </row>
    <row r="24" spans="1:6" ht="12.75" customHeight="1">
      <c r="A24" s="1088" t="s">
        <v>1211</v>
      </c>
      <c r="B24" s="392">
        <v>61</v>
      </c>
      <c r="C24" s="392">
        <v>61</v>
      </c>
      <c r="D24" s="392">
        <v>61</v>
      </c>
      <c r="E24" s="392">
        <v>61</v>
      </c>
      <c r="F24" s="392">
        <v>61</v>
      </c>
    </row>
    <row r="25" spans="1:6" ht="12.75" customHeight="1">
      <c r="A25" s="1088" t="s">
        <v>1212</v>
      </c>
      <c r="B25" s="392">
        <v>16</v>
      </c>
      <c r="C25" s="392">
        <v>16</v>
      </c>
      <c r="D25" s="392">
        <v>16</v>
      </c>
      <c r="E25" s="392">
        <v>16</v>
      </c>
      <c r="F25" s="392">
        <v>16</v>
      </c>
    </row>
    <row r="26" spans="1:6" ht="12.75" customHeight="1">
      <c r="A26" s="1088" t="s">
        <v>1213</v>
      </c>
      <c r="B26" s="392">
        <v>64</v>
      </c>
      <c r="C26" s="392">
        <v>64</v>
      </c>
      <c r="D26" s="392">
        <v>64</v>
      </c>
      <c r="E26" s="392">
        <v>64</v>
      </c>
      <c r="F26" s="392">
        <v>64</v>
      </c>
    </row>
    <row r="27" spans="1:6" ht="12.75" customHeight="1">
      <c r="A27" s="350" t="s">
        <v>314</v>
      </c>
      <c r="B27" s="171">
        <f>SUM(B28:B34)</f>
        <v>507</v>
      </c>
      <c r="C27" s="171">
        <f>SUM(C28:C34)</f>
        <v>508</v>
      </c>
      <c r="D27" s="171">
        <f>SUM(D28:D34)</f>
        <v>508</v>
      </c>
      <c r="E27" s="171">
        <f>SUM(E28:E34)</f>
        <v>508</v>
      </c>
      <c r="F27" s="171">
        <f>SUM(F28:F34)</f>
        <v>508</v>
      </c>
    </row>
    <row r="28" spans="1:6" ht="12.75" customHeight="1">
      <c r="A28" s="1088" t="s">
        <v>1218</v>
      </c>
      <c r="B28" s="392">
        <v>72</v>
      </c>
      <c r="C28" s="392">
        <v>72</v>
      </c>
      <c r="D28" s="392">
        <v>72</v>
      </c>
      <c r="E28" s="392">
        <v>72</v>
      </c>
      <c r="F28" s="392">
        <v>72</v>
      </c>
    </row>
    <row r="29" spans="1:6" ht="12.75" customHeight="1">
      <c r="A29" s="1088" t="s">
        <v>759</v>
      </c>
      <c r="B29" s="392">
        <v>70</v>
      </c>
      <c r="C29" s="392">
        <v>70</v>
      </c>
      <c r="D29" s="392">
        <v>70</v>
      </c>
      <c r="E29" s="392">
        <v>70</v>
      </c>
      <c r="F29" s="392">
        <v>70</v>
      </c>
    </row>
    <row r="30" spans="1:6" ht="12.75" customHeight="1">
      <c r="A30" s="1088" t="s">
        <v>760</v>
      </c>
      <c r="B30" s="392">
        <v>49</v>
      </c>
      <c r="C30" s="392">
        <v>49</v>
      </c>
      <c r="D30" s="392">
        <v>49</v>
      </c>
      <c r="E30" s="392">
        <v>49</v>
      </c>
      <c r="F30" s="392">
        <v>49</v>
      </c>
    </row>
    <row r="31" spans="1:6" ht="12.75" customHeight="1">
      <c r="A31" s="1088" t="s">
        <v>1194</v>
      </c>
      <c r="B31" s="392">
        <v>43</v>
      </c>
      <c r="C31" s="392">
        <v>43</v>
      </c>
      <c r="D31" s="392">
        <v>43</v>
      </c>
      <c r="E31" s="392">
        <v>43</v>
      </c>
      <c r="F31" s="392">
        <v>43</v>
      </c>
    </row>
    <row r="32" spans="1:6" ht="12.75" customHeight="1">
      <c r="A32" s="1088" t="s">
        <v>1221</v>
      </c>
      <c r="B32" s="392">
        <v>132</v>
      </c>
      <c r="C32" s="392">
        <v>133</v>
      </c>
      <c r="D32" s="392">
        <v>133</v>
      </c>
      <c r="E32" s="392">
        <v>133</v>
      </c>
      <c r="F32" s="392">
        <v>133</v>
      </c>
    </row>
    <row r="33" spans="1:6" ht="12.75" customHeight="1">
      <c r="A33" s="1088" t="s">
        <v>761</v>
      </c>
      <c r="B33" s="392">
        <v>82</v>
      </c>
      <c r="C33" s="392">
        <v>82</v>
      </c>
      <c r="D33" s="392">
        <v>82</v>
      </c>
      <c r="E33" s="392">
        <v>82</v>
      </c>
      <c r="F33" s="392">
        <v>82</v>
      </c>
    </row>
    <row r="34" spans="1:6" ht="12.75" customHeight="1">
      <c r="A34" s="1088" t="s">
        <v>762</v>
      </c>
      <c r="B34" s="392">
        <v>59</v>
      </c>
      <c r="C34" s="392">
        <v>59</v>
      </c>
      <c r="D34" s="392">
        <v>59</v>
      </c>
      <c r="E34" s="392">
        <v>59</v>
      </c>
      <c r="F34" s="392">
        <v>59</v>
      </c>
    </row>
    <row r="35" spans="1:6" ht="12.75" customHeight="1">
      <c r="A35" s="350" t="s">
        <v>315</v>
      </c>
      <c r="B35" s="171">
        <f>SUM(B36:B39)</f>
        <v>236</v>
      </c>
      <c r="C35" s="171">
        <f>SUM(C36:C39)</f>
        <v>236</v>
      </c>
      <c r="D35" s="171">
        <f>SUM(D36:D39)</f>
        <v>236</v>
      </c>
      <c r="E35" s="171">
        <f>SUM(E36:E39)</f>
        <v>236</v>
      </c>
      <c r="F35" s="171">
        <f>SUM(F36:F39)</f>
        <v>236</v>
      </c>
    </row>
    <row r="36" spans="1:6" ht="12.75" customHeight="1">
      <c r="A36" s="1088" t="s">
        <v>1223</v>
      </c>
      <c r="B36" s="392">
        <v>61</v>
      </c>
      <c r="C36" s="392">
        <v>61</v>
      </c>
      <c r="D36" s="392">
        <v>61</v>
      </c>
      <c r="E36" s="392">
        <v>61</v>
      </c>
      <c r="F36" s="392">
        <v>61</v>
      </c>
    </row>
    <row r="37" spans="1:6" ht="12.75" customHeight="1">
      <c r="A37" s="1088" t="s">
        <v>1224</v>
      </c>
      <c r="B37" s="392">
        <v>62</v>
      </c>
      <c r="C37" s="392">
        <v>62</v>
      </c>
      <c r="D37" s="392">
        <v>62</v>
      </c>
      <c r="E37" s="392">
        <v>62</v>
      </c>
      <c r="F37" s="392">
        <v>62</v>
      </c>
    </row>
    <row r="38" spans="1:6" ht="12.75" customHeight="1">
      <c r="A38" s="1088" t="s">
        <v>1197</v>
      </c>
      <c r="B38" s="392">
        <v>65</v>
      </c>
      <c r="C38" s="392">
        <v>65</v>
      </c>
      <c r="D38" s="392">
        <v>65</v>
      </c>
      <c r="E38" s="392">
        <v>65</v>
      </c>
      <c r="F38" s="392">
        <v>65</v>
      </c>
    </row>
    <row r="39" spans="1:6" ht="12.75" customHeight="1">
      <c r="A39" s="1088" t="s">
        <v>1198</v>
      </c>
      <c r="B39" s="392">
        <v>48</v>
      </c>
      <c r="C39" s="392">
        <v>48</v>
      </c>
      <c r="D39" s="392">
        <v>48</v>
      </c>
      <c r="E39" s="392">
        <v>48</v>
      </c>
      <c r="F39" s="392">
        <v>48</v>
      </c>
    </row>
    <row r="40" spans="1:6" ht="12.75" customHeight="1">
      <c r="A40" s="350" t="s">
        <v>25</v>
      </c>
      <c r="B40" s="171">
        <f>SUM(B41:B49)</f>
        <v>868</v>
      </c>
      <c r="C40" s="171">
        <f>SUM(C41:C49)</f>
        <v>868</v>
      </c>
      <c r="D40" s="171">
        <f>SUM(D41:D49)</f>
        <v>869</v>
      </c>
      <c r="E40" s="171">
        <f>SUM(E41:E49)</f>
        <v>869</v>
      </c>
      <c r="F40" s="171">
        <f>SUM(F41:F49)</f>
        <v>869</v>
      </c>
    </row>
    <row r="41" spans="1:6" ht="12.75" customHeight="1">
      <c r="A41" s="1088" t="s">
        <v>1714</v>
      </c>
      <c r="B41" s="392">
        <v>86</v>
      </c>
      <c r="C41" s="392">
        <v>86</v>
      </c>
      <c r="D41" s="392">
        <v>86</v>
      </c>
      <c r="E41" s="392">
        <v>86</v>
      </c>
      <c r="F41" s="392">
        <v>86</v>
      </c>
    </row>
    <row r="42" spans="1:6" ht="12.75" customHeight="1">
      <c r="A42" s="1088" t="s">
        <v>1226</v>
      </c>
      <c r="B42" s="392">
        <v>83</v>
      </c>
      <c r="C42" s="392">
        <v>83</v>
      </c>
      <c r="D42" s="392">
        <v>83</v>
      </c>
      <c r="E42" s="392">
        <v>83</v>
      </c>
      <c r="F42" s="392">
        <v>83</v>
      </c>
    </row>
    <row r="43" spans="1:6" ht="12.75" customHeight="1">
      <c r="A43" s="1088" t="s">
        <v>837</v>
      </c>
      <c r="B43" s="392">
        <v>112</v>
      </c>
      <c r="C43" s="392">
        <v>112</v>
      </c>
      <c r="D43" s="392">
        <v>112</v>
      </c>
      <c r="E43" s="392">
        <v>112</v>
      </c>
      <c r="F43" s="392">
        <v>112</v>
      </c>
    </row>
    <row r="44" spans="1:6" ht="12.75" customHeight="1">
      <c r="A44" s="1088" t="s">
        <v>1203</v>
      </c>
      <c r="B44" s="392">
        <v>172</v>
      </c>
      <c r="C44" s="392">
        <v>172</v>
      </c>
      <c r="D44" s="392">
        <v>172</v>
      </c>
      <c r="E44" s="392">
        <v>172</v>
      </c>
      <c r="F44" s="392">
        <v>172</v>
      </c>
    </row>
    <row r="45" spans="1:6" ht="12.75" customHeight="1">
      <c r="A45" s="1088" t="s">
        <v>1204</v>
      </c>
      <c r="B45" s="392">
        <v>132</v>
      </c>
      <c r="C45" s="392">
        <v>132</v>
      </c>
      <c r="D45" s="392">
        <v>133</v>
      </c>
      <c r="E45" s="392">
        <v>133</v>
      </c>
      <c r="F45" s="392">
        <v>133</v>
      </c>
    </row>
    <row r="46" spans="1:6" ht="12.75" customHeight="1">
      <c r="A46" s="1088" t="s">
        <v>1744</v>
      </c>
      <c r="B46" s="392">
        <v>70</v>
      </c>
      <c r="C46" s="392">
        <v>70</v>
      </c>
      <c r="D46" s="392">
        <v>70</v>
      </c>
      <c r="E46" s="392">
        <v>70</v>
      </c>
      <c r="F46" s="392">
        <v>70</v>
      </c>
    </row>
    <row r="47" spans="1:6" ht="12.75" customHeight="1">
      <c r="A47" s="1088" t="s">
        <v>1745</v>
      </c>
      <c r="B47" s="392">
        <v>91</v>
      </c>
      <c r="C47" s="392">
        <v>91</v>
      </c>
      <c r="D47" s="392">
        <v>91</v>
      </c>
      <c r="E47" s="392">
        <v>91</v>
      </c>
      <c r="F47" s="392">
        <v>91</v>
      </c>
    </row>
    <row r="48" spans="1:6" ht="12.75" customHeight="1">
      <c r="A48" s="1088" t="s">
        <v>1227</v>
      </c>
      <c r="B48" s="392">
        <v>95</v>
      </c>
      <c r="C48" s="392">
        <v>95</v>
      </c>
      <c r="D48" s="392">
        <v>95</v>
      </c>
      <c r="E48" s="392">
        <v>95</v>
      </c>
      <c r="F48" s="392">
        <v>95</v>
      </c>
    </row>
    <row r="49" spans="1:6" ht="12.75" customHeight="1">
      <c r="A49" s="1088" t="s">
        <v>1228</v>
      </c>
      <c r="B49" s="392">
        <v>27</v>
      </c>
      <c r="C49" s="392">
        <v>27</v>
      </c>
      <c r="D49" s="392">
        <v>27</v>
      </c>
      <c r="E49" s="392">
        <v>27</v>
      </c>
      <c r="F49" s="392">
        <v>27</v>
      </c>
    </row>
    <row r="50" spans="1:6" ht="12.75" customHeight="1">
      <c r="A50" s="350" t="s">
        <v>317</v>
      </c>
      <c r="B50" s="171">
        <f>SUM(B51:B54)</f>
        <v>189</v>
      </c>
      <c r="C50" s="171">
        <f>SUM(C51:C54)</f>
        <v>189</v>
      </c>
      <c r="D50" s="171">
        <f>SUM(D51:D54)</f>
        <v>190</v>
      </c>
      <c r="E50" s="171">
        <f>SUM(E51:E54)</f>
        <v>190</v>
      </c>
      <c r="F50" s="171">
        <f>SUM(F51:F54)</f>
        <v>190</v>
      </c>
    </row>
    <row r="51" spans="1:6" ht="12.75" customHeight="1">
      <c r="A51" s="1088" t="s">
        <v>1205</v>
      </c>
      <c r="B51" s="392">
        <v>39</v>
      </c>
      <c r="C51" s="392">
        <v>39</v>
      </c>
      <c r="D51" s="392">
        <v>39</v>
      </c>
      <c r="E51" s="392">
        <v>39</v>
      </c>
      <c r="F51" s="392">
        <v>39</v>
      </c>
    </row>
    <row r="52" spans="1:6" ht="12.75" customHeight="1">
      <c r="A52" s="1088" t="s">
        <v>1206</v>
      </c>
      <c r="B52" s="392">
        <v>37</v>
      </c>
      <c r="C52" s="392">
        <v>37</v>
      </c>
      <c r="D52" s="392">
        <v>37</v>
      </c>
      <c r="E52" s="392">
        <v>37</v>
      </c>
      <c r="F52" s="392">
        <v>37</v>
      </c>
    </row>
    <row r="53" spans="1:6" ht="12.75" customHeight="1">
      <c r="A53" s="1088" t="s">
        <v>1207</v>
      </c>
      <c r="B53" s="392">
        <v>42</v>
      </c>
      <c r="C53" s="392">
        <v>42</v>
      </c>
      <c r="D53" s="392">
        <v>42</v>
      </c>
      <c r="E53" s="392">
        <v>42</v>
      </c>
      <c r="F53" s="392">
        <v>42</v>
      </c>
    </row>
    <row r="54" spans="1:6" ht="12.75" customHeight="1">
      <c r="A54" s="1088" t="s">
        <v>1208</v>
      </c>
      <c r="B54" s="443">
        <v>71</v>
      </c>
      <c r="C54" s="443">
        <v>71</v>
      </c>
      <c r="D54" s="443">
        <v>72</v>
      </c>
      <c r="E54" s="443">
        <v>72</v>
      </c>
      <c r="F54" s="443">
        <v>72</v>
      </c>
    </row>
    <row r="55" spans="1:6" ht="12.75" customHeight="1">
      <c r="A55" s="482" t="s">
        <v>958</v>
      </c>
      <c r="B55" s="482">
        <f>SUM(B50,B40,B35,B27,B21)</f>
        <v>2066</v>
      </c>
      <c r="C55" s="482">
        <f>SUM(C50,C40,C35,C27,C21)</f>
        <v>2067</v>
      </c>
      <c r="D55" s="482">
        <f>SUM(D50,D40,D35,D27,D21)</f>
        <v>2069</v>
      </c>
      <c r="E55" s="482">
        <f>SUM(E50,E40,E35,E27,E21)</f>
        <v>2069</v>
      </c>
      <c r="F55" s="482">
        <f>SUM(F50,F40,F35,F27,F21)</f>
        <v>2069</v>
      </c>
    </row>
    <row r="56" spans="1:6" ht="14.25" customHeight="1">
      <c r="B56" s="107"/>
      <c r="D56" s="635"/>
      <c r="E56" s="635"/>
      <c r="F56" s="1136" t="s">
        <v>1827</v>
      </c>
    </row>
    <row r="57" spans="1:6">
      <c r="A57" s="232"/>
      <c r="B57" s="232"/>
      <c r="C57" s="232"/>
      <c r="D57" s="232"/>
      <c r="E57" s="232"/>
      <c r="F57" s="232"/>
    </row>
    <row r="58" spans="1:6">
      <c r="A58" s="232"/>
      <c r="B58" s="232"/>
      <c r="C58" s="232"/>
      <c r="D58" s="232"/>
      <c r="E58" s="232"/>
      <c r="F58" s="232"/>
    </row>
  </sheetData>
  <mergeCells count="16">
    <mergeCell ref="A11:B11"/>
    <mergeCell ref="A9:B9"/>
    <mergeCell ref="A10:B10"/>
    <mergeCell ref="B18:F18"/>
    <mergeCell ref="A16:F16"/>
    <mergeCell ref="A15:F15"/>
    <mergeCell ref="A18:A19"/>
    <mergeCell ref="D12:F13"/>
    <mergeCell ref="A7:B7"/>
    <mergeCell ref="A8:B8"/>
    <mergeCell ref="A1:F1"/>
    <mergeCell ref="A2:F2"/>
    <mergeCell ref="A4:B5"/>
    <mergeCell ref="A6:B6"/>
    <mergeCell ref="C4:D4"/>
    <mergeCell ref="E4:F4"/>
  </mergeCells>
  <phoneticPr fontId="0" type="noConversion"/>
  <printOptions horizontalCentered="1"/>
  <pageMargins left="0.15" right="0.1" top="0.63" bottom="0.1" header="0.57999999999999996" footer="0.1"/>
  <pageSetup paperSize="9" orientation="portrait" blackAndWhite="1" r:id="rId1"/>
  <headerFooter alignWithMargins="0"/>
</worksheet>
</file>

<file path=xl/worksheets/sheet57.xml><?xml version="1.0" encoding="utf-8"?>
<worksheet xmlns="http://schemas.openxmlformats.org/spreadsheetml/2006/main" xmlns:r="http://schemas.openxmlformats.org/officeDocument/2006/relationships">
  <sheetPr codeName="Sheet39"/>
  <dimension ref="A1:J15"/>
  <sheetViews>
    <sheetView workbookViewId="0">
      <selection activeCell="J11" sqref="J11"/>
    </sheetView>
  </sheetViews>
  <sheetFormatPr defaultRowHeight="12.4" customHeight="1"/>
  <cols>
    <col min="1" max="1" width="15.140625" customWidth="1"/>
    <col min="2" max="8" width="12.5703125" customWidth="1"/>
    <col min="9" max="9" width="12.85546875" customWidth="1"/>
    <col min="10" max="10" width="11.42578125" customWidth="1"/>
  </cols>
  <sheetData>
    <row r="1" spans="1:10" ht="12.4" customHeight="1">
      <c r="A1" s="1708" t="s">
        <v>778</v>
      </c>
      <c r="B1" s="1708"/>
      <c r="C1" s="1708"/>
      <c r="D1" s="1708"/>
      <c r="E1" s="1708"/>
      <c r="F1" s="1708"/>
      <c r="G1" s="1708"/>
      <c r="H1" s="1708"/>
      <c r="I1" s="1708"/>
      <c r="J1" s="1708"/>
    </row>
    <row r="2" spans="1:10" ht="17.25" customHeight="1">
      <c r="A2" s="1736" t="str">
        <f>CONCATENATE("Consumption of Electricity by different sectors in the district of ",District!A1)</f>
        <v>Consumption of Electricity by different sectors in the district of South 24-Parganas</v>
      </c>
      <c r="B2" s="1736"/>
      <c r="C2" s="1736"/>
      <c r="D2" s="1736"/>
      <c r="E2" s="1736"/>
      <c r="F2" s="1736"/>
      <c r="G2" s="1736"/>
      <c r="H2" s="1736"/>
      <c r="I2" s="1736"/>
      <c r="J2" s="1736"/>
    </row>
    <row r="3" spans="1:10" ht="12.4" customHeight="1">
      <c r="B3" s="33"/>
      <c r="C3" s="33"/>
      <c r="D3" s="33"/>
      <c r="E3" s="33"/>
      <c r="F3" s="37"/>
      <c r="G3" s="37"/>
      <c r="H3" s="37"/>
      <c r="I3" s="3"/>
      <c r="J3" s="95" t="s">
        <v>1828</v>
      </c>
    </row>
    <row r="4" spans="1:10" ht="61.5" customHeight="1">
      <c r="A4" s="984" t="s">
        <v>671</v>
      </c>
      <c r="B4" s="985" t="s">
        <v>1721</v>
      </c>
      <c r="C4" s="986" t="s">
        <v>40</v>
      </c>
      <c r="D4" s="985" t="s">
        <v>1722</v>
      </c>
      <c r="E4" s="986" t="s">
        <v>1723</v>
      </c>
      <c r="F4" s="993" t="s">
        <v>367</v>
      </c>
      <c r="G4" s="1538" t="s">
        <v>1415</v>
      </c>
      <c r="H4" s="987" t="s">
        <v>1830</v>
      </c>
      <c r="I4" s="987" t="s">
        <v>675</v>
      </c>
      <c r="J4" s="988" t="s">
        <v>958</v>
      </c>
    </row>
    <row r="5" spans="1:10" ht="21" customHeight="1">
      <c r="A5" s="118" t="s">
        <v>928</v>
      </c>
      <c r="B5" s="199" t="s">
        <v>929</v>
      </c>
      <c r="C5" s="119" t="s">
        <v>930</v>
      </c>
      <c r="D5" s="199" t="s">
        <v>931</v>
      </c>
      <c r="E5" s="119" t="s">
        <v>932</v>
      </c>
      <c r="F5" s="199" t="s">
        <v>933</v>
      </c>
      <c r="G5" s="119" t="s">
        <v>934</v>
      </c>
      <c r="H5" s="123" t="s">
        <v>959</v>
      </c>
      <c r="I5" s="199" t="s">
        <v>960</v>
      </c>
      <c r="J5" s="122" t="s">
        <v>961</v>
      </c>
    </row>
    <row r="6" spans="1:10" ht="42" customHeight="1">
      <c r="A6" s="299" t="s">
        <v>1317</v>
      </c>
      <c r="B6" s="77">
        <v>360027</v>
      </c>
      <c r="C6" s="39">
        <v>90023</v>
      </c>
      <c r="D6" s="77">
        <v>133903</v>
      </c>
      <c r="E6" s="370">
        <v>11948</v>
      </c>
      <c r="F6" s="77">
        <v>239</v>
      </c>
      <c r="G6" s="370">
        <v>3460</v>
      </c>
      <c r="H6" s="77">
        <v>1513</v>
      </c>
      <c r="I6" s="392" t="s">
        <v>857</v>
      </c>
      <c r="J6" s="82">
        <f>SUM(B6:I6)</f>
        <v>601113</v>
      </c>
    </row>
    <row r="7" spans="1:10" ht="42" customHeight="1">
      <c r="A7" s="299" t="s">
        <v>221</v>
      </c>
      <c r="B7" s="77">
        <v>412549</v>
      </c>
      <c r="C7" s="39">
        <v>108148</v>
      </c>
      <c r="D7" s="77">
        <v>134075</v>
      </c>
      <c r="E7" s="370">
        <v>12956</v>
      </c>
      <c r="F7" s="77">
        <v>319</v>
      </c>
      <c r="G7" s="370">
        <v>4065</v>
      </c>
      <c r="H7" s="77">
        <v>1588</v>
      </c>
      <c r="I7" s="392" t="s">
        <v>857</v>
      </c>
      <c r="J7" s="82">
        <f>SUM(B7:I7)</f>
        <v>673700</v>
      </c>
    </row>
    <row r="8" spans="1:10" ht="42" customHeight="1">
      <c r="A8" s="299" t="s">
        <v>1301</v>
      </c>
      <c r="B8" s="392">
        <v>436566</v>
      </c>
      <c r="C8" s="370">
        <v>106172</v>
      </c>
      <c r="D8" s="392">
        <v>53577</v>
      </c>
      <c r="E8" s="370">
        <v>13448</v>
      </c>
      <c r="F8" s="392">
        <v>242</v>
      </c>
      <c r="G8" s="370">
        <v>3444</v>
      </c>
      <c r="H8" s="392">
        <v>104</v>
      </c>
      <c r="I8" s="392">
        <v>8709</v>
      </c>
      <c r="J8" s="82">
        <f>IF(SUM(B8:I8)=0,"..",SUM(B8:I8))</f>
        <v>622262</v>
      </c>
    </row>
    <row r="9" spans="1:10" ht="42" customHeight="1">
      <c r="A9" s="299" t="s">
        <v>621</v>
      </c>
      <c r="B9" s="392">
        <v>516680</v>
      </c>
      <c r="C9" s="370">
        <v>156490</v>
      </c>
      <c r="D9" s="392">
        <v>294150</v>
      </c>
      <c r="E9" s="370">
        <v>15560</v>
      </c>
      <c r="F9" s="392">
        <v>1380</v>
      </c>
      <c r="G9" s="370">
        <v>25010</v>
      </c>
      <c r="H9" s="392">
        <v>93980</v>
      </c>
      <c r="I9" s="392">
        <v>1070</v>
      </c>
      <c r="J9" s="82">
        <f>IF(SUM(B9:I9)=0,"..",SUM(B9:I9))</f>
        <v>1104320</v>
      </c>
    </row>
    <row r="10" spans="1:10" ht="42" customHeight="1">
      <c r="A10" s="300" t="s">
        <v>206</v>
      </c>
      <c r="B10" s="443">
        <v>541710</v>
      </c>
      <c r="C10" s="443">
        <v>162390</v>
      </c>
      <c r="D10" s="443">
        <v>319900</v>
      </c>
      <c r="E10" s="443">
        <v>18660</v>
      </c>
      <c r="F10" s="443">
        <v>440</v>
      </c>
      <c r="G10" s="443">
        <v>28040</v>
      </c>
      <c r="H10" s="443">
        <v>105530</v>
      </c>
      <c r="I10" s="443">
        <v>2340</v>
      </c>
      <c r="J10" s="1631">
        <f>IF(SUM(B10:I10)=0,"..",SUM(B10:I10))</f>
        <v>1179010</v>
      </c>
    </row>
    <row r="11" spans="1:10" ht="25.5" customHeight="1">
      <c r="A11" s="1089"/>
      <c r="B11" s="1089"/>
      <c r="C11" s="1089"/>
      <c r="D11" s="1089"/>
      <c r="E11" s="1089"/>
      <c r="F11" s="1137" t="s">
        <v>777</v>
      </c>
      <c r="G11" s="2062" t="s">
        <v>1829</v>
      </c>
      <c r="H11" s="2062"/>
      <c r="I11" s="2062"/>
      <c r="J11" s="2062"/>
    </row>
    <row r="12" spans="1:10" ht="12.4" customHeight="1">
      <c r="A12" s="636"/>
      <c r="B12" s="636"/>
      <c r="C12" s="636"/>
      <c r="D12" s="636"/>
      <c r="E12" s="636"/>
      <c r="F12" s="1"/>
      <c r="G12" s="109"/>
      <c r="H12" s="32"/>
      <c r="I12" s="32"/>
      <c r="J12" s="32"/>
    </row>
    <row r="13" spans="1:10" ht="12.75" customHeight="1">
      <c r="A13" s="636"/>
      <c r="B13" s="636"/>
      <c r="C13" s="636"/>
      <c r="D13" s="636"/>
      <c r="E13" s="636"/>
      <c r="G13" s="32"/>
      <c r="H13" s="32"/>
      <c r="I13" s="32"/>
      <c r="J13" s="32"/>
    </row>
    <row r="14" spans="1:10" ht="12.4" customHeight="1">
      <c r="D14" s="98"/>
      <c r="F14" s="97"/>
      <c r="G14" s="97"/>
      <c r="H14" s="97"/>
      <c r="I14" s="97"/>
    </row>
    <row r="15" spans="1:10" ht="12.4" customHeight="1">
      <c r="E15" s="98"/>
      <c r="F15" s="98"/>
      <c r="G15" s="98"/>
      <c r="H15" s="98" t="s">
        <v>262</v>
      </c>
      <c r="I15" s="98"/>
      <c r="J15" s="98"/>
    </row>
  </sheetData>
  <mergeCells count="3">
    <mergeCell ref="A2:J2"/>
    <mergeCell ref="A1:J1"/>
    <mergeCell ref="G11:J11"/>
  </mergeCells>
  <phoneticPr fontId="0" type="noConversion"/>
  <conditionalFormatting sqref="A1:XFD1048576">
    <cfRule type="cellIs" dxfId="11" priority="1" stopIfTrue="1" operator="equal">
      <formula>".."</formula>
    </cfRule>
  </conditionalFormatting>
  <printOptions horizontalCentered="1"/>
  <pageMargins left="0.1" right="0.1" top="0.94" bottom="0.1" header="0.73" footer="0.1"/>
  <pageSetup paperSize="9" orientation="landscape" blackAndWhite="1" r:id="rId1"/>
  <headerFooter alignWithMargins="0"/>
</worksheet>
</file>

<file path=xl/worksheets/sheet58.xml><?xml version="1.0" encoding="utf-8"?>
<worksheet xmlns="http://schemas.openxmlformats.org/spreadsheetml/2006/main" xmlns:r="http://schemas.openxmlformats.org/officeDocument/2006/relationships">
  <dimension ref="A1:K75"/>
  <sheetViews>
    <sheetView topLeftCell="A40" workbookViewId="0">
      <selection activeCell="J11" sqref="J11"/>
    </sheetView>
  </sheetViews>
  <sheetFormatPr defaultRowHeight="12.75"/>
  <cols>
    <col min="1" max="1" width="9.42578125" style="232" customWidth="1"/>
    <col min="2" max="2" width="8.7109375" style="232" customWidth="1"/>
    <col min="3" max="5" width="11.7109375" style="232" customWidth="1"/>
    <col min="6" max="6" width="13.140625" style="232" customWidth="1"/>
    <col min="7" max="7" width="11.7109375" style="232" customWidth="1"/>
    <col min="8" max="8" width="12.42578125" style="232" customWidth="1"/>
    <col min="9" max="9" width="12.140625" style="232" customWidth="1"/>
    <col min="10" max="11" width="11.7109375" style="232" customWidth="1"/>
    <col min="12" max="16384" width="9.140625" style="232"/>
  </cols>
  <sheetData>
    <row r="1" spans="1:11">
      <c r="A1" s="1739" t="s">
        <v>1325</v>
      </c>
      <c r="B1" s="1739"/>
      <c r="C1" s="1739"/>
      <c r="D1" s="1739"/>
      <c r="E1" s="1739"/>
      <c r="F1" s="1739"/>
      <c r="G1" s="1739"/>
      <c r="H1" s="1739"/>
      <c r="I1" s="1739"/>
      <c r="J1" s="1739"/>
      <c r="K1" s="1739"/>
    </row>
    <row r="2" spans="1:11" ht="18.75" customHeight="1">
      <c r="A2" s="1766" t="s">
        <v>1907</v>
      </c>
      <c r="B2" s="1766"/>
      <c r="C2" s="1766"/>
      <c r="D2" s="1766"/>
      <c r="E2" s="1766"/>
      <c r="F2" s="1766"/>
      <c r="G2" s="1766"/>
      <c r="H2" s="1766"/>
      <c r="I2" s="1766"/>
      <c r="J2" s="1766"/>
      <c r="K2" s="1766"/>
    </row>
    <row r="3" spans="1:11" ht="13.5" hidden="1" customHeight="1">
      <c r="C3" s="379"/>
      <c r="D3" s="379"/>
      <c r="E3" s="379"/>
      <c r="F3" s="2011" t="s">
        <v>1733</v>
      </c>
      <c r="G3" s="2011"/>
      <c r="H3" s="2011"/>
      <c r="I3" s="2011"/>
      <c r="J3" s="2011"/>
      <c r="K3" s="2011"/>
    </row>
    <row r="4" spans="1:11" ht="38.25">
      <c r="A4" s="631" t="s">
        <v>1845</v>
      </c>
      <c r="B4" s="631" t="s">
        <v>1462</v>
      </c>
      <c r="C4" s="631" t="s">
        <v>1440</v>
      </c>
      <c r="D4" s="631" t="s">
        <v>1441</v>
      </c>
      <c r="E4" s="631" t="s">
        <v>799</v>
      </c>
      <c r="F4" s="631" t="s">
        <v>1442</v>
      </c>
      <c r="G4" s="631" t="s">
        <v>1443</v>
      </c>
      <c r="H4" s="1640" t="s">
        <v>1747</v>
      </c>
      <c r="I4" s="631" t="s">
        <v>1748</v>
      </c>
      <c r="J4" s="1640" t="s">
        <v>1444</v>
      </c>
      <c r="K4" s="1641" t="s">
        <v>1445</v>
      </c>
    </row>
    <row r="5" spans="1:11" ht="13.5" customHeight="1">
      <c r="A5" s="1674" t="s">
        <v>928</v>
      </c>
      <c r="B5" s="1674" t="s">
        <v>929</v>
      </c>
      <c r="C5" s="1674" t="s">
        <v>930</v>
      </c>
      <c r="D5" s="1674" t="s">
        <v>931</v>
      </c>
      <c r="E5" s="1674" t="s">
        <v>932</v>
      </c>
      <c r="F5" s="1674" t="s">
        <v>933</v>
      </c>
      <c r="G5" s="1674" t="s">
        <v>934</v>
      </c>
      <c r="H5" s="1675" t="s">
        <v>959</v>
      </c>
      <c r="I5" s="1674" t="s">
        <v>960</v>
      </c>
      <c r="J5" s="1675" t="s">
        <v>961</v>
      </c>
      <c r="K5" s="1647" t="s">
        <v>962</v>
      </c>
    </row>
    <row r="6" spans="1:11" s="1505" customFormat="1" ht="13.5" customHeight="1">
      <c r="A6" s="68" t="s">
        <v>636</v>
      </c>
      <c r="B6" s="68">
        <v>90</v>
      </c>
      <c r="C6" s="68">
        <v>30390</v>
      </c>
      <c r="D6" s="68">
        <v>90841</v>
      </c>
      <c r="E6" s="68">
        <v>4555</v>
      </c>
      <c r="F6" s="68">
        <v>1889</v>
      </c>
      <c r="G6" s="68">
        <v>9193</v>
      </c>
      <c r="H6" s="68">
        <v>357769</v>
      </c>
      <c r="I6" s="68">
        <v>383699</v>
      </c>
      <c r="J6" s="68">
        <v>23203</v>
      </c>
      <c r="K6" s="1677">
        <v>21399</v>
      </c>
    </row>
    <row r="7" spans="1:11" s="1505" customFormat="1" ht="13.5" customHeight="1">
      <c r="A7" s="68" t="s">
        <v>637</v>
      </c>
      <c r="B7" s="68">
        <v>10</v>
      </c>
      <c r="C7" s="68">
        <v>25911</v>
      </c>
      <c r="D7" s="68">
        <v>31418</v>
      </c>
      <c r="E7" s="68">
        <v>1329</v>
      </c>
      <c r="F7" s="68">
        <v>528</v>
      </c>
      <c r="G7" s="68">
        <v>3737</v>
      </c>
      <c r="H7" s="68">
        <v>49729</v>
      </c>
      <c r="I7" s="68">
        <v>55233</v>
      </c>
      <c r="J7" s="68">
        <v>3536</v>
      </c>
      <c r="K7" s="1677">
        <v>3060</v>
      </c>
    </row>
    <row r="8" spans="1:11" s="1505" customFormat="1" ht="13.5" customHeight="1">
      <c r="A8" s="68" t="s">
        <v>638</v>
      </c>
      <c r="B8" s="68">
        <v>188.99999999999997</v>
      </c>
      <c r="C8" s="68">
        <v>11157</v>
      </c>
      <c r="D8" s="68">
        <v>14559</v>
      </c>
      <c r="E8" s="68">
        <v>846</v>
      </c>
      <c r="F8" s="68">
        <v>259</v>
      </c>
      <c r="G8" s="68">
        <v>1811</v>
      </c>
      <c r="H8" s="68">
        <v>27942</v>
      </c>
      <c r="I8" s="68">
        <v>31211</v>
      </c>
      <c r="J8" s="68">
        <v>2290</v>
      </c>
      <c r="K8" s="1677">
        <v>2184</v>
      </c>
    </row>
    <row r="9" spans="1:11" s="1505" customFormat="1" ht="13.5" customHeight="1">
      <c r="A9" s="68" t="s">
        <v>639</v>
      </c>
      <c r="B9" s="68">
        <v>39</v>
      </c>
      <c r="C9" s="68">
        <v>40569</v>
      </c>
      <c r="D9" s="68">
        <v>66424</v>
      </c>
      <c r="E9" s="68">
        <v>16330</v>
      </c>
      <c r="F9" s="68">
        <v>5779</v>
      </c>
      <c r="G9" s="68">
        <v>21912</v>
      </c>
      <c r="H9" s="68">
        <v>79997</v>
      </c>
      <c r="I9" s="68">
        <v>107991</v>
      </c>
      <c r="J9" s="68">
        <v>25281</v>
      </c>
      <c r="K9" s="1677">
        <v>23411</v>
      </c>
    </row>
    <row r="10" spans="1:11" s="1505" customFormat="1" ht="13.5" customHeight="1">
      <c r="A10" s="68" t="s">
        <v>640</v>
      </c>
      <c r="B10" s="68">
        <v>47</v>
      </c>
      <c r="C10" s="68">
        <v>10662</v>
      </c>
      <c r="D10" s="68">
        <v>35187</v>
      </c>
      <c r="E10" s="68">
        <v>3567</v>
      </c>
      <c r="F10" s="68">
        <v>1380</v>
      </c>
      <c r="G10" s="68">
        <v>6808</v>
      </c>
      <c r="H10" s="68">
        <v>62366</v>
      </c>
      <c r="I10" s="68">
        <v>79052</v>
      </c>
      <c r="J10" s="68">
        <v>15646</v>
      </c>
      <c r="K10" s="1677">
        <v>12363</v>
      </c>
    </row>
    <row r="11" spans="1:11" s="1505" customFormat="1" ht="13.5" customHeight="1">
      <c r="A11" s="68" t="s">
        <v>641</v>
      </c>
      <c r="B11" s="68">
        <v>416.00000000000006</v>
      </c>
      <c r="C11" s="68">
        <v>107924</v>
      </c>
      <c r="D11" s="68">
        <v>190497</v>
      </c>
      <c r="E11" s="68">
        <v>20113</v>
      </c>
      <c r="F11" s="68">
        <v>7313</v>
      </c>
      <c r="G11" s="68">
        <v>28387</v>
      </c>
      <c r="H11" s="68">
        <v>391797</v>
      </c>
      <c r="I11" s="68">
        <v>455535</v>
      </c>
      <c r="J11" s="68">
        <v>56690</v>
      </c>
      <c r="K11" s="1677">
        <v>48402</v>
      </c>
    </row>
    <row r="12" spans="1:11" s="1505" customFormat="1" ht="13.5" customHeight="1">
      <c r="A12" s="68" t="s">
        <v>642</v>
      </c>
      <c r="B12" s="68">
        <v>14</v>
      </c>
      <c r="C12" s="68">
        <v>19381</v>
      </c>
      <c r="D12" s="68">
        <v>37712</v>
      </c>
      <c r="E12" s="68">
        <v>2848</v>
      </c>
      <c r="F12" s="68">
        <v>1160</v>
      </c>
      <c r="G12" s="68">
        <v>7459</v>
      </c>
      <c r="H12" s="68">
        <v>98113</v>
      </c>
      <c r="I12" s="68">
        <v>117063</v>
      </c>
      <c r="J12" s="68">
        <v>17254</v>
      </c>
      <c r="K12" s="1677">
        <v>13874</v>
      </c>
    </row>
    <row r="13" spans="1:11" s="1505" customFormat="1" ht="13.5" customHeight="1">
      <c r="A13" s="68" t="s">
        <v>643</v>
      </c>
      <c r="B13" s="68">
        <v>23</v>
      </c>
      <c r="C13" s="68">
        <v>13714</v>
      </c>
      <c r="D13" s="68">
        <v>20521</v>
      </c>
      <c r="E13" s="68">
        <v>558</v>
      </c>
      <c r="F13" s="68">
        <v>228</v>
      </c>
      <c r="G13" s="68">
        <v>595</v>
      </c>
      <c r="H13" s="68">
        <v>17923</v>
      </c>
      <c r="I13" s="68">
        <v>22002</v>
      </c>
      <c r="J13" s="68">
        <v>3323</v>
      </c>
      <c r="K13" s="1677">
        <v>1178</v>
      </c>
    </row>
    <row r="14" spans="1:11" s="1505" customFormat="1" ht="13.5" customHeight="1">
      <c r="A14" s="68" t="s">
        <v>644</v>
      </c>
      <c r="B14" s="68">
        <v>29</v>
      </c>
      <c r="C14" s="68">
        <v>10903</v>
      </c>
      <c r="D14" s="68">
        <v>13565</v>
      </c>
      <c r="E14" s="68">
        <v>1095</v>
      </c>
      <c r="F14" s="68">
        <v>391</v>
      </c>
      <c r="G14" s="68">
        <v>1853</v>
      </c>
      <c r="H14" s="68">
        <v>21388</v>
      </c>
      <c r="I14" s="68">
        <v>27339</v>
      </c>
      <c r="J14" s="68">
        <v>4703</v>
      </c>
      <c r="K14" s="1677">
        <v>3790</v>
      </c>
    </row>
    <row r="15" spans="1:11" s="1505" customFormat="1" ht="13.5" customHeight="1">
      <c r="A15" s="68" t="s">
        <v>645</v>
      </c>
      <c r="B15" s="68">
        <v>14</v>
      </c>
      <c r="C15" s="68">
        <v>1135</v>
      </c>
      <c r="D15" s="68">
        <v>4153</v>
      </c>
      <c r="E15" s="68">
        <v>345</v>
      </c>
      <c r="F15" s="68">
        <v>275</v>
      </c>
      <c r="G15" s="68">
        <v>379</v>
      </c>
      <c r="H15" s="68">
        <v>14587</v>
      </c>
      <c r="I15" s="68">
        <v>15281</v>
      </c>
      <c r="J15" s="68">
        <v>586</v>
      </c>
      <c r="K15" s="1677">
        <v>239</v>
      </c>
    </row>
    <row r="16" spans="1:11" s="1505" customFormat="1" ht="13.5" customHeight="1">
      <c r="A16" s="68" t="s">
        <v>646</v>
      </c>
      <c r="B16" s="68">
        <v>45</v>
      </c>
      <c r="C16" s="68">
        <v>17759</v>
      </c>
      <c r="D16" s="68">
        <v>42974</v>
      </c>
      <c r="E16" s="68">
        <v>2392</v>
      </c>
      <c r="F16" s="68">
        <v>1063</v>
      </c>
      <c r="G16" s="68">
        <v>8405</v>
      </c>
      <c r="H16" s="68">
        <v>95665</v>
      </c>
      <c r="I16" s="68">
        <v>117305</v>
      </c>
      <c r="J16" s="68">
        <v>19749</v>
      </c>
      <c r="K16" s="1677">
        <v>18507</v>
      </c>
    </row>
    <row r="17" spans="1:11" s="1505" customFormat="1" ht="13.5" customHeight="1">
      <c r="A17" s="68" t="s">
        <v>647</v>
      </c>
      <c r="B17" s="68">
        <v>46</v>
      </c>
      <c r="C17" s="68">
        <v>9421</v>
      </c>
      <c r="D17" s="68">
        <v>17317</v>
      </c>
      <c r="E17" s="68">
        <v>1105</v>
      </c>
      <c r="F17" s="68">
        <v>1508</v>
      </c>
      <c r="G17" s="68">
        <v>7405</v>
      </c>
      <c r="H17" s="68">
        <v>38555</v>
      </c>
      <c r="I17" s="68">
        <v>53056</v>
      </c>
      <c r="J17" s="68">
        <v>13611</v>
      </c>
      <c r="K17" s="1677">
        <v>11206</v>
      </c>
    </row>
    <row r="18" spans="1:11" s="1505" customFormat="1" ht="13.5" customHeight="1">
      <c r="A18" s="68" t="s">
        <v>648</v>
      </c>
      <c r="B18" s="68">
        <v>121</v>
      </c>
      <c r="C18" s="68">
        <v>36988</v>
      </c>
      <c r="D18" s="68">
        <v>80088</v>
      </c>
      <c r="E18" s="68">
        <v>6242</v>
      </c>
      <c r="F18" s="68">
        <v>2324</v>
      </c>
      <c r="G18" s="68">
        <v>13372</v>
      </c>
      <c r="H18" s="68">
        <v>199768</v>
      </c>
      <c r="I18" s="68">
        <v>266099</v>
      </c>
      <c r="J18" s="68">
        <v>61549</v>
      </c>
      <c r="K18" s="1677">
        <v>56885</v>
      </c>
    </row>
    <row r="19" spans="1:11" s="1505" customFormat="1" ht="13.5" customHeight="1">
      <c r="A19" s="68" t="s">
        <v>649</v>
      </c>
      <c r="B19" s="68">
        <v>19</v>
      </c>
      <c r="C19" s="68">
        <v>11245</v>
      </c>
      <c r="D19" s="68">
        <v>16500</v>
      </c>
      <c r="E19" s="68">
        <v>647</v>
      </c>
      <c r="F19" s="68">
        <v>259</v>
      </c>
      <c r="G19" s="68">
        <v>3210</v>
      </c>
      <c r="H19" s="68">
        <v>28969</v>
      </c>
      <c r="I19" s="68">
        <v>34919</v>
      </c>
      <c r="J19" s="68">
        <v>5025</v>
      </c>
      <c r="K19" s="1677">
        <v>3758</v>
      </c>
    </row>
    <row r="20" spans="1:11" s="1505" customFormat="1" ht="13.5" customHeight="1">
      <c r="A20" s="68" t="s">
        <v>650</v>
      </c>
      <c r="B20" s="68">
        <v>45.000000000000007</v>
      </c>
      <c r="C20" s="68">
        <v>27013</v>
      </c>
      <c r="D20" s="68">
        <v>45117</v>
      </c>
      <c r="E20" s="68">
        <v>1628</v>
      </c>
      <c r="F20" s="68">
        <v>721</v>
      </c>
      <c r="G20" s="68">
        <v>5226</v>
      </c>
      <c r="H20" s="68">
        <v>73193</v>
      </c>
      <c r="I20" s="68">
        <v>86211</v>
      </c>
      <c r="J20" s="68">
        <v>10526</v>
      </c>
      <c r="K20" s="1677">
        <v>7479</v>
      </c>
    </row>
    <row r="21" spans="1:11" s="1505" customFormat="1" ht="13.5" customHeight="1">
      <c r="A21" s="68" t="s">
        <v>651</v>
      </c>
      <c r="B21" s="68">
        <v>83</v>
      </c>
      <c r="C21" s="68">
        <v>13213</v>
      </c>
      <c r="D21" s="68">
        <v>26394</v>
      </c>
      <c r="E21" s="68">
        <v>9560</v>
      </c>
      <c r="F21" s="68">
        <v>3250</v>
      </c>
      <c r="G21" s="68">
        <v>13774</v>
      </c>
      <c r="H21" s="68">
        <v>68323</v>
      </c>
      <c r="I21" s="68">
        <v>91078</v>
      </c>
      <c r="J21" s="68">
        <v>20670</v>
      </c>
      <c r="K21" s="1677">
        <v>18684</v>
      </c>
    </row>
    <row r="22" spans="1:11" s="1505" customFormat="1" ht="13.5" customHeight="1">
      <c r="A22" s="68" t="s">
        <v>652</v>
      </c>
      <c r="B22" s="68">
        <v>17</v>
      </c>
      <c r="C22" s="68">
        <v>2296</v>
      </c>
      <c r="D22" s="68">
        <v>6120</v>
      </c>
      <c r="E22" s="68">
        <v>1049</v>
      </c>
      <c r="F22" s="68">
        <v>440</v>
      </c>
      <c r="G22" s="68">
        <v>2666</v>
      </c>
      <c r="H22" s="68">
        <v>21821</v>
      </c>
      <c r="I22" s="68">
        <v>32254</v>
      </c>
      <c r="J22" s="68">
        <v>10198</v>
      </c>
      <c r="K22" s="1677">
        <v>9511</v>
      </c>
    </row>
    <row r="23" spans="1:11" s="1505" customFormat="1" ht="13.5" customHeight="1">
      <c r="A23" s="68" t="s">
        <v>653</v>
      </c>
      <c r="B23" s="68">
        <v>149</v>
      </c>
      <c r="C23" s="68">
        <v>11502</v>
      </c>
      <c r="D23" s="68">
        <v>41825</v>
      </c>
      <c r="E23" s="68">
        <v>3803</v>
      </c>
      <c r="F23" s="68">
        <v>1883</v>
      </c>
      <c r="G23" s="68">
        <v>14320</v>
      </c>
      <c r="H23" s="68">
        <v>125436</v>
      </c>
      <c r="I23" s="68">
        <v>147531</v>
      </c>
      <c r="J23" s="68">
        <v>20889</v>
      </c>
      <c r="K23" s="1677">
        <v>17258</v>
      </c>
    </row>
    <row r="24" spans="1:11" s="1505" customFormat="1" ht="13.5" customHeight="1">
      <c r="A24" s="68" t="s">
        <v>654</v>
      </c>
      <c r="B24" s="68">
        <v>104.00000000000001</v>
      </c>
      <c r="C24" s="68">
        <v>18777</v>
      </c>
      <c r="D24" s="68">
        <v>40318</v>
      </c>
      <c r="E24" s="68">
        <v>2555</v>
      </c>
      <c r="F24" s="68">
        <v>1304</v>
      </c>
      <c r="G24" s="68">
        <v>11304</v>
      </c>
      <c r="H24" s="68">
        <v>94757</v>
      </c>
      <c r="I24" s="68">
        <v>124069</v>
      </c>
      <c r="J24" s="68">
        <v>27268</v>
      </c>
      <c r="K24" s="1677">
        <v>24378</v>
      </c>
    </row>
    <row r="25" spans="1:11" s="1505" customFormat="1" ht="13.5" customHeight="1">
      <c r="A25" s="68" t="s">
        <v>655</v>
      </c>
      <c r="B25" s="68">
        <v>14.999999999999998</v>
      </c>
      <c r="C25" s="68">
        <v>1462</v>
      </c>
      <c r="D25" s="68">
        <v>2070</v>
      </c>
      <c r="E25" s="68">
        <v>331</v>
      </c>
      <c r="F25" s="68">
        <v>156</v>
      </c>
      <c r="G25" s="68">
        <v>668</v>
      </c>
      <c r="H25" s="68">
        <v>3035</v>
      </c>
      <c r="I25" s="68">
        <v>3663</v>
      </c>
      <c r="J25" s="68">
        <v>234</v>
      </c>
      <c r="K25" s="1677">
        <v>-38</v>
      </c>
    </row>
    <row r="26" spans="1:11" s="1505" customFormat="1" ht="13.5" customHeight="1">
      <c r="A26" s="68" t="s">
        <v>656</v>
      </c>
      <c r="B26" s="68">
        <v>13</v>
      </c>
      <c r="C26" s="68">
        <v>4926</v>
      </c>
      <c r="D26" s="68">
        <v>9369</v>
      </c>
      <c r="E26" s="68">
        <v>1001</v>
      </c>
      <c r="F26" s="68">
        <v>391</v>
      </c>
      <c r="G26" s="68">
        <v>3478</v>
      </c>
      <c r="H26" s="68">
        <v>29122</v>
      </c>
      <c r="I26" s="68">
        <v>41557</v>
      </c>
      <c r="J26" s="68">
        <v>12085</v>
      </c>
      <c r="K26" s="1677">
        <v>11279</v>
      </c>
    </row>
    <row r="27" spans="1:11" s="1505" customFormat="1" ht="13.5" customHeight="1">
      <c r="A27" s="68" t="s">
        <v>657</v>
      </c>
      <c r="B27" s="68">
        <v>8</v>
      </c>
      <c r="C27" s="68">
        <v>845</v>
      </c>
      <c r="D27" s="68">
        <v>1812</v>
      </c>
      <c r="E27" s="68">
        <v>185</v>
      </c>
      <c r="F27" s="68">
        <v>82</v>
      </c>
      <c r="G27" s="68">
        <v>394</v>
      </c>
      <c r="H27" s="68">
        <v>1390</v>
      </c>
      <c r="I27" s="68">
        <v>1795</v>
      </c>
      <c r="J27" s="68">
        <v>350</v>
      </c>
      <c r="K27" s="1677">
        <v>324</v>
      </c>
    </row>
    <row r="28" spans="1:11" s="1505" customFormat="1" ht="13.5" customHeight="1">
      <c r="A28" s="68" t="s">
        <v>658</v>
      </c>
      <c r="B28" s="68">
        <v>13.000000000000002</v>
      </c>
      <c r="C28" s="68">
        <v>8839</v>
      </c>
      <c r="D28" s="68">
        <v>20551</v>
      </c>
      <c r="E28" s="68">
        <v>2093</v>
      </c>
      <c r="F28" s="68">
        <v>804</v>
      </c>
      <c r="G28" s="68">
        <v>3197</v>
      </c>
      <c r="H28" s="68">
        <v>45221</v>
      </c>
      <c r="I28" s="68">
        <v>51939</v>
      </c>
      <c r="J28" s="68">
        <v>5449</v>
      </c>
      <c r="K28" s="1677">
        <v>4369</v>
      </c>
    </row>
    <row r="29" spans="1:11" s="1505" customFormat="1" ht="13.5" customHeight="1">
      <c r="A29" s="68" t="s">
        <v>659</v>
      </c>
      <c r="B29" s="68">
        <v>24</v>
      </c>
      <c r="C29" s="68">
        <v>1523</v>
      </c>
      <c r="D29" s="68">
        <v>5399</v>
      </c>
      <c r="E29" s="68">
        <v>625</v>
      </c>
      <c r="F29" s="68">
        <v>264</v>
      </c>
      <c r="G29" s="68">
        <v>2242</v>
      </c>
      <c r="H29" s="68">
        <v>15146</v>
      </c>
      <c r="I29" s="68">
        <v>20207</v>
      </c>
      <c r="J29" s="68">
        <v>4913</v>
      </c>
      <c r="K29" s="1677">
        <v>4888</v>
      </c>
    </row>
    <row r="30" spans="1:11" s="1505" customFormat="1" ht="13.5" customHeight="1">
      <c r="A30" s="68" t="s">
        <v>660</v>
      </c>
      <c r="B30" s="68">
        <v>45</v>
      </c>
      <c r="C30" s="68">
        <v>32043</v>
      </c>
      <c r="D30" s="68">
        <v>53289</v>
      </c>
      <c r="E30" s="68">
        <v>2036</v>
      </c>
      <c r="F30" s="68">
        <v>843</v>
      </c>
      <c r="G30" s="68">
        <v>5296</v>
      </c>
      <c r="H30" s="68">
        <v>168610</v>
      </c>
      <c r="I30" s="68">
        <v>176022</v>
      </c>
      <c r="J30" s="68">
        <v>5654</v>
      </c>
      <c r="K30" s="1677">
        <v>1676</v>
      </c>
    </row>
    <row r="31" spans="1:11" s="1505" customFormat="1" ht="13.5" customHeight="1">
      <c r="A31" s="68" t="s">
        <v>661</v>
      </c>
      <c r="B31" s="68">
        <v>9</v>
      </c>
      <c r="C31" s="68">
        <v>844</v>
      </c>
      <c r="D31" s="68">
        <v>1091</v>
      </c>
      <c r="E31" s="68">
        <v>111</v>
      </c>
      <c r="F31" s="68">
        <v>46</v>
      </c>
      <c r="G31" s="68">
        <v>282</v>
      </c>
      <c r="H31" s="68">
        <v>2297</v>
      </c>
      <c r="I31" s="68">
        <v>2923</v>
      </c>
      <c r="J31" s="68">
        <v>599</v>
      </c>
      <c r="K31" s="1677">
        <v>551</v>
      </c>
    </row>
    <row r="32" spans="1:11" s="1505" customFormat="1" ht="13.5" customHeight="1">
      <c r="A32" s="68" t="s">
        <v>1906</v>
      </c>
      <c r="B32" s="68">
        <v>1</v>
      </c>
      <c r="C32" s="68">
        <v>17</v>
      </c>
      <c r="D32" s="68">
        <v>18</v>
      </c>
      <c r="E32" s="68">
        <v>24</v>
      </c>
      <c r="F32" s="68">
        <v>8</v>
      </c>
      <c r="G32" s="68">
        <v>25</v>
      </c>
      <c r="H32" s="68">
        <v>28</v>
      </c>
      <c r="I32" s="68">
        <v>62</v>
      </c>
      <c r="J32" s="68">
        <v>31</v>
      </c>
      <c r="K32" s="1677">
        <v>30</v>
      </c>
    </row>
    <row r="33" spans="1:11" s="1505" customFormat="1" ht="13.5" customHeight="1">
      <c r="A33" s="68" t="s">
        <v>662</v>
      </c>
      <c r="B33" s="68">
        <v>1</v>
      </c>
      <c r="C33" s="68">
        <v>23</v>
      </c>
      <c r="D33" s="68">
        <v>23</v>
      </c>
      <c r="E33" s="68">
        <v>10</v>
      </c>
      <c r="F33" s="68">
        <v>7</v>
      </c>
      <c r="G33" s="68">
        <v>35</v>
      </c>
      <c r="H33" s="68">
        <v>58</v>
      </c>
      <c r="I33" s="68">
        <v>111</v>
      </c>
      <c r="J33" s="68">
        <v>46</v>
      </c>
      <c r="K33" s="1677">
        <v>75</v>
      </c>
    </row>
    <row r="34" spans="1:11" s="1505" customFormat="1" ht="13.5" customHeight="1">
      <c r="A34" s="68" t="s">
        <v>663</v>
      </c>
      <c r="B34" s="68">
        <v>2</v>
      </c>
      <c r="C34" s="68">
        <v>86</v>
      </c>
      <c r="D34" s="68">
        <v>91</v>
      </c>
      <c r="E34" s="68">
        <v>5</v>
      </c>
      <c r="F34" s="68">
        <v>2</v>
      </c>
      <c r="G34" s="68">
        <v>3</v>
      </c>
      <c r="H34" s="68">
        <v>49</v>
      </c>
      <c r="I34" s="68">
        <v>59</v>
      </c>
      <c r="J34" s="68">
        <v>0</v>
      </c>
      <c r="K34" s="1677">
        <v>-4</v>
      </c>
    </row>
    <row r="35" spans="1:11" s="1505" customFormat="1" ht="13.5" customHeight="1">
      <c r="A35" s="68" t="s">
        <v>664</v>
      </c>
      <c r="B35" s="68">
        <v>4</v>
      </c>
      <c r="C35" s="68">
        <v>709</v>
      </c>
      <c r="D35" s="68">
        <v>3281</v>
      </c>
      <c r="E35" s="68">
        <v>162</v>
      </c>
      <c r="F35" s="68">
        <v>63</v>
      </c>
      <c r="G35" s="68">
        <v>239</v>
      </c>
      <c r="H35" s="68">
        <v>5838</v>
      </c>
      <c r="I35" s="68">
        <v>6382</v>
      </c>
      <c r="J35" s="68">
        <v>483</v>
      </c>
      <c r="K35" s="1677">
        <v>278</v>
      </c>
    </row>
    <row r="36" spans="1:11" s="1505" customFormat="1" ht="13.5" customHeight="1">
      <c r="A36" s="68" t="s">
        <v>665</v>
      </c>
      <c r="B36" s="68">
        <v>2</v>
      </c>
      <c r="C36" s="68">
        <v>67</v>
      </c>
      <c r="D36" s="68">
        <v>1847</v>
      </c>
      <c r="E36" s="68">
        <v>43</v>
      </c>
      <c r="F36" s="68">
        <v>19</v>
      </c>
      <c r="G36" s="68">
        <v>96</v>
      </c>
      <c r="H36" s="68">
        <v>3430</v>
      </c>
      <c r="I36" s="68">
        <v>3826</v>
      </c>
      <c r="J36" s="68">
        <v>384</v>
      </c>
      <c r="K36" s="1677">
        <v>358</v>
      </c>
    </row>
    <row r="37" spans="1:11" s="1505" customFormat="1" ht="13.5" customHeight="1">
      <c r="A37" s="68" t="s">
        <v>666</v>
      </c>
      <c r="B37" s="68">
        <v>5</v>
      </c>
      <c r="C37" s="68">
        <v>178</v>
      </c>
      <c r="D37" s="68">
        <v>207</v>
      </c>
      <c r="E37" s="68">
        <v>99</v>
      </c>
      <c r="F37" s="68">
        <v>41</v>
      </c>
      <c r="G37" s="68">
        <v>111</v>
      </c>
      <c r="H37" s="68">
        <v>465</v>
      </c>
      <c r="I37" s="68">
        <v>636</v>
      </c>
      <c r="J37" s="68">
        <v>150</v>
      </c>
      <c r="K37" s="1677">
        <v>133</v>
      </c>
    </row>
    <row r="38" spans="1:11" ht="28.5" customHeight="1">
      <c r="A38" s="1679" t="s">
        <v>1504</v>
      </c>
      <c r="B38" s="1676">
        <f>SUM(B6:B37)</f>
        <v>1642</v>
      </c>
      <c r="C38" s="1676">
        <f t="shared" ref="C38:K38" si="0">SUM(C6:C37)</f>
        <v>471522</v>
      </c>
      <c r="D38" s="1676">
        <f t="shared" si="0"/>
        <v>920578</v>
      </c>
      <c r="E38" s="1676">
        <f t="shared" si="0"/>
        <v>87292</v>
      </c>
      <c r="F38" s="1678">
        <f t="shared" si="0"/>
        <v>34680</v>
      </c>
      <c r="G38" s="1676">
        <f t="shared" si="0"/>
        <v>177882</v>
      </c>
      <c r="H38" s="1676">
        <f t="shared" si="0"/>
        <v>2142787</v>
      </c>
      <c r="I38" s="1676">
        <f t="shared" si="0"/>
        <v>2556110</v>
      </c>
      <c r="J38" s="1676">
        <f t="shared" si="0"/>
        <v>372375</v>
      </c>
      <c r="K38" s="1676">
        <f t="shared" si="0"/>
        <v>321485</v>
      </c>
    </row>
    <row r="39" spans="1:11" ht="12.75" customHeight="1">
      <c r="A39" s="1398"/>
      <c r="B39" s="1398"/>
      <c r="C39" s="1398"/>
      <c r="D39" s="1398"/>
      <c r="E39" s="1398"/>
      <c r="F39" s="1398"/>
      <c r="G39" s="577"/>
      <c r="H39" s="577"/>
      <c r="I39" s="577"/>
      <c r="J39" s="577"/>
      <c r="K39" s="1157" t="s">
        <v>678</v>
      </c>
    </row>
    <row r="40" spans="1:11">
      <c r="G40" s="1404"/>
      <c r="H40" s="1404"/>
      <c r="I40" s="1404"/>
      <c r="J40" s="1404"/>
      <c r="K40" s="1404"/>
    </row>
    <row r="41" spans="1:11">
      <c r="A41" s="2100" t="s">
        <v>313</v>
      </c>
      <c r="B41" s="2100"/>
      <c r="C41" s="2100"/>
      <c r="D41" s="2100"/>
      <c r="E41" s="2100"/>
      <c r="F41" s="2100"/>
      <c r="G41" s="2100"/>
      <c r="H41" s="2100"/>
      <c r="I41" s="2100"/>
      <c r="J41" s="2100"/>
      <c r="K41" s="1404"/>
    </row>
    <row r="42" spans="1:11" ht="24.75" customHeight="1">
      <c r="A42" s="1665" t="s">
        <v>1845</v>
      </c>
      <c r="B42" s="2098" t="s">
        <v>1293</v>
      </c>
      <c r="C42" s="2098"/>
      <c r="D42" s="2098"/>
      <c r="E42" s="2098"/>
      <c r="F42" s="2098"/>
      <c r="G42" s="2098"/>
      <c r="H42" s="2098"/>
      <c r="I42" s="2098"/>
      <c r="J42" s="2099"/>
    </row>
    <row r="43" spans="1:11">
      <c r="A43" s="1637">
        <v>10</v>
      </c>
      <c r="B43" s="1666" t="s">
        <v>698</v>
      </c>
      <c r="C43" s="1667"/>
      <c r="D43" s="1667"/>
      <c r="E43" s="1667"/>
      <c r="F43" s="1667"/>
      <c r="G43" s="1667"/>
      <c r="H43" s="1667"/>
      <c r="I43" s="1667"/>
      <c r="J43" s="1668"/>
    </row>
    <row r="44" spans="1:11">
      <c r="A44" s="1637">
        <v>11</v>
      </c>
      <c r="B44" s="1666" t="s">
        <v>699</v>
      </c>
      <c r="C44" s="1667"/>
      <c r="D44" s="1667"/>
      <c r="E44" s="1667"/>
      <c r="F44" s="1667"/>
      <c r="G44" s="1667"/>
      <c r="H44" s="1667"/>
      <c r="I44" s="1667"/>
      <c r="J44" s="1668"/>
    </row>
    <row r="45" spans="1:11">
      <c r="A45" s="1637">
        <v>12</v>
      </c>
      <c r="B45" s="1666" t="s">
        <v>700</v>
      </c>
      <c r="C45" s="1667"/>
      <c r="D45" s="1667"/>
      <c r="E45" s="1667"/>
      <c r="F45" s="1667"/>
      <c r="G45" s="1667"/>
      <c r="H45" s="1667"/>
      <c r="I45" s="1667"/>
      <c r="J45" s="1668"/>
    </row>
    <row r="46" spans="1:11">
      <c r="A46" s="1637">
        <v>13</v>
      </c>
      <c r="B46" s="1666" t="s">
        <v>701</v>
      </c>
      <c r="C46" s="1667"/>
      <c r="D46" s="1667"/>
      <c r="E46" s="1667"/>
      <c r="F46" s="1667"/>
      <c r="G46" s="1667"/>
      <c r="H46" s="1667"/>
      <c r="I46" s="1667"/>
      <c r="J46" s="1668"/>
    </row>
    <row r="47" spans="1:11">
      <c r="A47" s="1637">
        <v>14</v>
      </c>
      <c r="B47" s="1666" t="s">
        <v>702</v>
      </c>
      <c r="C47" s="1667"/>
      <c r="D47" s="1667"/>
      <c r="E47" s="1667"/>
      <c r="F47" s="1667"/>
      <c r="G47" s="1667"/>
      <c r="H47" s="1667"/>
      <c r="I47" s="1667"/>
      <c r="J47" s="1668"/>
    </row>
    <row r="48" spans="1:11" ht="12.75" customHeight="1">
      <c r="A48" s="1637">
        <v>15</v>
      </c>
      <c r="B48" s="1666" t="s">
        <v>703</v>
      </c>
      <c r="C48" s="1667"/>
      <c r="D48" s="1667"/>
      <c r="E48" s="1667"/>
      <c r="F48" s="1667"/>
      <c r="G48" s="1667"/>
      <c r="H48" s="1667"/>
      <c r="I48" s="1667"/>
      <c r="J48" s="1668"/>
    </row>
    <row r="49" spans="1:10">
      <c r="A49" s="1637">
        <v>16</v>
      </c>
      <c r="B49" s="1666" t="s">
        <v>704</v>
      </c>
      <c r="C49" s="1667"/>
      <c r="D49" s="1667"/>
      <c r="E49" s="1667"/>
      <c r="F49" s="1667"/>
      <c r="G49" s="1667"/>
      <c r="H49" s="1667"/>
      <c r="I49" s="1667"/>
      <c r="J49" s="1668"/>
    </row>
    <row r="50" spans="1:10" ht="12.75" customHeight="1">
      <c r="A50" s="1637">
        <v>17</v>
      </c>
      <c r="B50" s="1666" t="s">
        <v>217</v>
      </c>
      <c r="C50" s="1667"/>
      <c r="D50" s="1667"/>
      <c r="E50" s="1667"/>
      <c r="F50" s="1667"/>
      <c r="G50" s="1667"/>
      <c r="H50" s="1667"/>
      <c r="I50" s="1667"/>
      <c r="J50" s="1668"/>
    </row>
    <row r="51" spans="1:10">
      <c r="A51" s="1637">
        <v>18</v>
      </c>
      <c r="B51" s="1666" t="s">
        <v>705</v>
      </c>
      <c r="C51" s="1667"/>
      <c r="D51" s="1667"/>
      <c r="E51" s="1667"/>
      <c r="F51" s="1667"/>
      <c r="G51" s="1667"/>
      <c r="H51" s="1667"/>
      <c r="I51" s="1667"/>
      <c r="J51" s="1668"/>
    </row>
    <row r="52" spans="1:10">
      <c r="A52" s="1637">
        <v>19</v>
      </c>
      <c r="B52" s="1666" t="s">
        <v>706</v>
      </c>
      <c r="C52" s="1667"/>
      <c r="D52" s="1667"/>
      <c r="E52" s="1667"/>
      <c r="F52" s="1667"/>
      <c r="G52" s="1667"/>
      <c r="H52" s="1667"/>
      <c r="I52" s="1667"/>
      <c r="J52" s="1668"/>
    </row>
    <row r="53" spans="1:10">
      <c r="A53" s="1637">
        <v>20</v>
      </c>
      <c r="B53" s="1666" t="s">
        <v>218</v>
      </c>
      <c r="C53" s="1667"/>
      <c r="D53" s="1667"/>
      <c r="E53" s="1667"/>
      <c r="F53" s="1667"/>
      <c r="G53" s="1667"/>
      <c r="H53" s="1667"/>
      <c r="I53" s="1667"/>
      <c r="J53" s="1668"/>
    </row>
    <row r="54" spans="1:10">
      <c r="A54" s="1637">
        <v>21</v>
      </c>
      <c r="B54" s="1666" t="s">
        <v>783</v>
      </c>
      <c r="C54" s="1667"/>
      <c r="D54" s="1667"/>
      <c r="E54" s="1667"/>
      <c r="F54" s="1667"/>
      <c r="G54" s="1667"/>
      <c r="H54" s="1667"/>
      <c r="I54" s="1667"/>
      <c r="J54" s="1668"/>
    </row>
    <row r="55" spans="1:10">
      <c r="A55" s="1637">
        <v>22</v>
      </c>
      <c r="B55" s="1666" t="s">
        <v>1846</v>
      </c>
      <c r="C55" s="1667"/>
      <c r="D55" s="1667"/>
      <c r="E55" s="1667"/>
      <c r="F55" s="1667"/>
      <c r="G55" s="1667"/>
      <c r="H55" s="1667"/>
      <c r="I55" s="1667"/>
      <c r="J55" s="1668"/>
    </row>
    <row r="56" spans="1:10">
      <c r="A56" s="1637">
        <v>23</v>
      </c>
      <c r="B56" s="1666" t="s">
        <v>219</v>
      </c>
      <c r="C56" s="1667"/>
      <c r="D56" s="1667"/>
      <c r="E56" s="1667"/>
      <c r="F56" s="1667"/>
      <c r="G56" s="1667"/>
      <c r="H56" s="1667"/>
      <c r="I56" s="1667"/>
      <c r="J56" s="1668"/>
    </row>
    <row r="57" spans="1:10">
      <c r="A57" s="1637">
        <v>24</v>
      </c>
      <c r="B57" s="1666" t="s">
        <v>220</v>
      </c>
      <c r="C57" s="1667"/>
      <c r="D57" s="1667"/>
      <c r="E57" s="1667"/>
      <c r="F57" s="1667"/>
      <c r="G57" s="1667"/>
      <c r="H57" s="1667"/>
      <c r="I57" s="1667"/>
      <c r="J57" s="1668"/>
    </row>
    <row r="58" spans="1:10">
      <c r="A58" s="1637">
        <v>25</v>
      </c>
      <c r="B58" s="1666" t="s">
        <v>707</v>
      </c>
      <c r="C58" s="1667"/>
      <c r="D58" s="1667"/>
      <c r="E58" s="1667"/>
      <c r="F58" s="1667"/>
      <c r="G58" s="1667"/>
      <c r="H58" s="1667"/>
      <c r="I58" s="1667"/>
      <c r="J58" s="1668"/>
    </row>
    <row r="59" spans="1:10">
      <c r="A59" s="1637">
        <v>26</v>
      </c>
      <c r="B59" s="1666" t="s">
        <v>708</v>
      </c>
      <c r="C59" s="1667"/>
      <c r="D59" s="1667"/>
      <c r="E59" s="1667"/>
      <c r="F59" s="1667"/>
      <c r="G59" s="1667"/>
      <c r="H59" s="1667"/>
      <c r="I59" s="1667"/>
      <c r="J59" s="1668"/>
    </row>
    <row r="60" spans="1:10">
      <c r="A60" s="1637">
        <v>27</v>
      </c>
      <c r="B60" s="1666" t="s">
        <v>709</v>
      </c>
      <c r="C60" s="1667"/>
      <c r="D60" s="1667"/>
      <c r="E60" s="1667"/>
      <c r="F60" s="1667"/>
      <c r="G60" s="1667"/>
      <c r="H60" s="1667"/>
      <c r="I60" s="1667"/>
      <c r="J60" s="1668"/>
    </row>
    <row r="61" spans="1:10">
      <c r="A61" s="1637">
        <v>28</v>
      </c>
      <c r="B61" s="1666" t="s">
        <v>1847</v>
      </c>
      <c r="C61" s="1667"/>
      <c r="D61" s="1667"/>
      <c r="E61" s="1667"/>
      <c r="F61" s="1667"/>
      <c r="G61" s="1667"/>
      <c r="H61" s="1667"/>
      <c r="I61" s="1667"/>
      <c r="J61" s="1668"/>
    </row>
    <row r="62" spans="1:10">
      <c r="A62" s="1637">
        <v>29</v>
      </c>
      <c r="B62" s="1666" t="s">
        <v>1123</v>
      </c>
      <c r="C62" s="1667"/>
      <c r="D62" s="1667"/>
      <c r="E62" s="1667"/>
      <c r="F62" s="1667"/>
      <c r="G62" s="1667"/>
      <c r="H62" s="1667"/>
      <c r="I62" s="1667"/>
      <c r="J62" s="1668"/>
    </row>
    <row r="63" spans="1:10">
      <c r="A63" s="1637">
        <v>30</v>
      </c>
      <c r="B63" s="1666" t="s">
        <v>222</v>
      </c>
      <c r="C63" s="1667"/>
      <c r="D63" s="1667"/>
      <c r="E63" s="1667"/>
      <c r="F63" s="1667"/>
      <c r="G63" s="1667"/>
      <c r="H63" s="1667"/>
      <c r="I63" s="1667"/>
      <c r="J63" s="1668"/>
    </row>
    <row r="64" spans="1:10">
      <c r="A64" s="1637">
        <v>31</v>
      </c>
      <c r="B64" s="1666" t="s">
        <v>710</v>
      </c>
      <c r="C64" s="1667"/>
      <c r="D64" s="1667"/>
      <c r="E64" s="1667"/>
      <c r="F64" s="1667"/>
      <c r="G64" s="1667"/>
      <c r="H64" s="1667"/>
      <c r="I64" s="1667"/>
      <c r="J64" s="1668"/>
    </row>
    <row r="65" spans="1:10" ht="14.25" customHeight="1">
      <c r="A65" s="1637">
        <v>32</v>
      </c>
      <c r="B65" s="1666" t="s">
        <v>725</v>
      </c>
      <c r="C65" s="1667"/>
      <c r="D65" s="1667"/>
      <c r="E65" s="1667"/>
      <c r="F65" s="1667"/>
      <c r="G65" s="1667"/>
      <c r="H65" s="1667"/>
      <c r="I65" s="1667"/>
      <c r="J65" s="1668"/>
    </row>
    <row r="66" spans="1:10" ht="12.75" customHeight="1">
      <c r="A66" s="1637">
        <v>33</v>
      </c>
      <c r="B66" s="1666" t="s">
        <v>1535</v>
      </c>
      <c r="C66" s="1667"/>
      <c r="D66" s="1667"/>
      <c r="E66" s="1667"/>
      <c r="F66" s="1667"/>
      <c r="G66" s="1667"/>
      <c r="H66" s="1667"/>
      <c r="I66" s="1667"/>
      <c r="J66" s="1668"/>
    </row>
    <row r="67" spans="1:10" ht="12.75" customHeight="1">
      <c r="A67" s="1637">
        <v>45</v>
      </c>
      <c r="B67" s="1666" t="s">
        <v>726</v>
      </c>
      <c r="C67" s="1667"/>
      <c r="D67" s="1667"/>
      <c r="E67" s="1667"/>
      <c r="F67" s="1667"/>
      <c r="G67" s="1667"/>
      <c r="H67" s="1667"/>
      <c r="I67" s="1667"/>
      <c r="J67" s="1668"/>
    </row>
    <row r="68" spans="1:10" ht="14.25" customHeight="1">
      <c r="A68" s="1669">
        <v>52</v>
      </c>
      <c r="B68" s="1666" t="s">
        <v>727</v>
      </c>
      <c r="C68" s="1667"/>
      <c r="D68" s="1667"/>
      <c r="E68" s="1667"/>
      <c r="F68" s="1667"/>
      <c r="G68" s="1667"/>
      <c r="H68" s="1667"/>
      <c r="I68" s="1667"/>
      <c r="J68" s="1668"/>
    </row>
    <row r="69" spans="1:10" ht="14.25" customHeight="1">
      <c r="A69" s="1637">
        <v>58</v>
      </c>
      <c r="B69" s="1666" t="s">
        <v>1908</v>
      </c>
      <c r="C69" s="1667"/>
      <c r="D69" s="1667"/>
      <c r="E69" s="1667"/>
      <c r="F69" s="1666"/>
      <c r="G69" s="1666"/>
      <c r="H69" s="1666"/>
      <c r="I69" s="1666"/>
      <c r="J69" s="1670"/>
    </row>
    <row r="70" spans="1:10">
      <c r="A70" s="1637">
        <v>59</v>
      </c>
      <c r="B70" s="1666" t="s">
        <v>728</v>
      </c>
      <c r="C70" s="1667"/>
      <c r="D70" s="1667"/>
      <c r="E70" s="1667"/>
      <c r="F70" s="1667"/>
      <c r="G70" s="1667"/>
      <c r="H70" s="1667"/>
      <c r="I70" s="1667"/>
      <c r="J70" s="1668"/>
    </row>
    <row r="71" spans="1:10">
      <c r="A71" s="1637">
        <v>74</v>
      </c>
      <c r="B71" s="1666" t="s">
        <v>729</v>
      </c>
      <c r="C71" s="1666"/>
      <c r="D71" s="1666"/>
      <c r="E71" s="1666"/>
      <c r="F71" s="1666"/>
      <c r="G71" s="1666"/>
      <c r="H71" s="1666"/>
      <c r="I71" s="1666"/>
      <c r="J71" s="1670"/>
    </row>
    <row r="72" spans="1:10">
      <c r="A72" s="1637">
        <v>82</v>
      </c>
      <c r="B72" s="1666" t="s">
        <v>91</v>
      </c>
      <c r="C72" s="1666"/>
      <c r="D72" s="1666"/>
      <c r="E72" s="1666"/>
      <c r="F72" s="1666"/>
      <c r="G72" s="1666"/>
      <c r="H72" s="1666"/>
      <c r="I72" s="1666"/>
      <c r="J72" s="1670"/>
    </row>
    <row r="73" spans="1:10">
      <c r="A73" s="1637">
        <v>95</v>
      </c>
      <c r="B73" s="1666" t="s">
        <v>730</v>
      </c>
      <c r="C73" s="1666"/>
      <c r="D73" s="1666"/>
      <c r="E73" s="1666"/>
      <c r="F73" s="1666"/>
      <c r="G73" s="1666"/>
      <c r="H73" s="1666"/>
      <c r="I73" s="1666"/>
      <c r="J73" s="1670"/>
    </row>
    <row r="74" spans="1:10">
      <c r="A74" s="1671">
        <v>96</v>
      </c>
      <c r="B74" s="1672" t="s">
        <v>731</v>
      </c>
      <c r="C74" s="1672"/>
      <c r="D74" s="1672"/>
      <c r="E74" s="1672"/>
      <c r="F74" s="1672"/>
      <c r="G74" s="1672"/>
      <c r="H74" s="1672"/>
      <c r="I74" s="1672"/>
      <c r="J74" s="1673"/>
    </row>
    <row r="75" spans="1:10">
      <c r="A75" s="1405" t="s">
        <v>1831</v>
      </c>
      <c r="J75" s="1162" t="s">
        <v>1832</v>
      </c>
    </row>
  </sheetData>
  <mergeCells count="5">
    <mergeCell ref="F3:K3"/>
    <mergeCell ref="B42:J42"/>
    <mergeCell ref="A1:K1"/>
    <mergeCell ref="A41:J41"/>
    <mergeCell ref="A2:K2"/>
  </mergeCells>
  <phoneticPr fontId="0" type="noConversion"/>
  <printOptions horizontalCentered="1"/>
  <pageMargins left="0.1" right="0.1" top="0.48" bottom="0.1" header="0.42" footer="0.1"/>
  <pageSetup paperSize="9" orientation="landscape" blackAndWhite="1" r:id="rId1"/>
  <headerFooter alignWithMargins="0"/>
</worksheet>
</file>

<file path=xl/worksheets/sheet59.xml><?xml version="1.0" encoding="utf-8"?>
<worksheet xmlns="http://schemas.openxmlformats.org/spreadsheetml/2006/main" xmlns:r="http://schemas.openxmlformats.org/officeDocument/2006/relationships">
  <dimension ref="A1:J15"/>
  <sheetViews>
    <sheetView workbookViewId="0">
      <selection activeCell="J11" sqref="J11"/>
    </sheetView>
  </sheetViews>
  <sheetFormatPr defaultRowHeight="12.75"/>
  <cols>
    <col min="1" max="1" width="15.7109375" customWidth="1"/>
    <col min="2" max="2" width="14.85546875" customWidth="1"/>
    <col min="3" max="3" width="13.5703125" customWidth="1"/>
    <col min="4" max="4" width="14" customWidth="1"/>
    <col min="5" max="5" width="13.7109375" customWidth="1"/>
    <col min="6" max="6" width="13.28515625" customWidth="1"/>
    <col min="7" max="7" width="14.85546875" customWidth="1"/>
    <col min="8" max="8" width="12.5703125" customWidth="1"/>
    <col min="9" max="9" width="13.5703125" customWidth="1"/>
  </cols>
  <sheetData>
    <row r="1" spans="1:10" ht="16.5" customHeight="1">
      <c r="A1" s="1708" t="s">
        <v>1326</v>
      </c>
      <c r="B1" s="1708"/>
      <c r="C1" s="1708"/>
      <c r="D1" s="1708"/>
      <c r="E1" s="1708"/>
      <c r="F1" s="1708"/>
      <c r="G1" s="1708"/>
      <c r="H1" s="1708"/>
      <c r="I1" s="1708"/>
    </row>
    <row r="2" spans="1:10" ht="17.25" customHeight="1">
      <c r="A2" s="1766" t="str">
        <f>CONCATENATE("Production in Sericulture Industry in the district of ",District!A1)</f>
        <v>Production in Sericulture Industry in the district of South 24-Parganas</v>
      </c>
      <c r="B2" s="1766"/>
      <c r="C2" s="1766"/>
      <c r="D2" s="1766"/>
      <c r="E2" s="1766"/>
      <c r="F2" s="1766"/>
      <c r="G2" s="1766"/>
      <c r="H2" s="1766"/>
      <c r="I2" s="1766"/>
      <c r="J2" s="29"/>
    </row>
    <row r="3" spans="1:10" ht="11.25" customHeight="1">
      <c r="B3" s="21"/>
      <c r="C3" s="21"/>
      <c r="D3" s="21"/>
      <c r="E3" s="21"/>
      <c r="F3" s="21"/>
      <c r="G3" s="21"/>
      <c r="H3" s="29"/>
      <c r="I3" s="29"/>
      <c r="J3" s="29"/>
    </row>
    <row r="4" spans="1:10" ht="21.75" customHeight="1">
      <c r="A4" s="2101" t="s">
        <v>671</v>
      </c>
      <c r="B4" s="2103" t="s">
        <v>1750</v>
      </c>
      <c r="C4" s="1773"/>
      <c r="D4" s="1773"/>
      <c r="E4" s="2031"/>
      <c r="F4" s="1773" t="s">
        <v>1833</v>
      </c>
      <c r="G4" s="1773"/>
      <c r="H4" s="1773"/>
      <c r="I4" s="2031"/>
      <c r="J4" s="7"/>
    </row>
    <row r="5" spans="1:10" ht="36" customHeight="1">
      <c r="A5" s="2102"/>
      <c r="B5" s="569" t="s">
        <v>1755</v>
      </c>
      <c r="C5" s="569" t="s">
        <v>742</v>
      </c>
      <c r="D5" s="1010" t="s">
        <v>792</v>
      </c>
      <c r="E5" s="569" t="s">
        <v>1759</v>
      </c>
      <c r="F5" s="569" t="s">
        <v>1756</v>
      </c>
      <c r="G5" s="569" t="s">
        <v>1757</v>
      </c>
      <c r="H5" s="578" t="s">
        <v>1758</v>
      </c>
      <c r="I5" s="578" t="s">
        <v>1759</v>
      </c>
      <c r="J5" s="7"/>
    </row>
    <row r="6" spans="1:10" ht="21" customHeight="1">
      <c r="A6" s="199" t="s">
        <v>928</v>
      </c>
      <c r="B6" s="199" t="s">
        <v>929</v>
      </c>
      <c r="C6" s="199" t="s">
        <v>930</v>
      </c>
      <c r="D6" s="199" t="s">
        <v>931</v>
      </c>
      <c r="E6" s="199" t="s">
        <v>932</v>
      </c>
      <c r="F6" s="199" t="s">
        <v>933</v>
      </c>
      <c r="G6" s="199" t="s">
        <v>934</v>
      </c>
      <c r="H6" s="199" t="s">
        <v>959</v>
      </c>
      <c r="I6" s="199" t="s">
        <v>960</v>
      </c>
      <c r="J6" s="31"/>
    </row>
    <row r="7" spans="1:10" ht="42.75" customHeight="1">
      <c r="A7" s="231" t="s">
        <v>1317</v>
      </c>
      <c r="B7" s="77">
        <v>0.10199999999999999</v>
      </c>
      <c r="C7" s="77" t="s">
        <v>1229</v>
      </c>
      <c r="D7" s="77">
        <v>474</v>
      </c>
      <c r="E7" s="77" t="s">
        <v>1229</v>
      </c>
      <c r="F7" s="279">
        <v>15.15</v>
      </c>
      <c r="G7" s="77" t="s">
        <v>1229</v>
      </c>
      <c r="H7" s="279">
        <v>113.8</v>
      </c>
      <c r="I7" s="77" t="s">
        <v>1229</v>
      </c>
    </row>
    <row r="8" spans="1:10" ht="42.75" customHeight="1">
      <c r="A8" s="231" t="s">
        <v>221</v>
      </c>
      <c r="B8" s="508">
        <v>0.47</v>
      </c>
      <c r="C8" s="77" t="s">
        <v>1229</v>
      </c>
      <c r="D8" s="77">
        <v>140</v>
      </c>
      <c r="E8" s="77" t="s">
        <v>1229</v>
      </c>
      <c r="F8" s="279">
        <v>69</v>
      </c>
      <c r="G8" s="77" t="s">
        <v>1229</v>
      </c>
      <c r="H8" s="279">
        <v>35</v>
      </c>
      <c r="I8" s="77" t="s">
        <v>1229</v>
      </c>
    </row>
    <row r="9" spans="1:10" ht="42.75" customHeight="1">
      <c r="A9" s="231" t="s">
        <v>1301</v>
      </c>
      <c r="B9" s="508">
        <v>1.268</v>
      </c>
      <c r="C9" s="77" t="s">
        <v>1229</v>
      </c>
      <c r="D9" s="77">
        <v>284</v>
      </c>
      <c r="E9" s="77" t="s">
        <v>1229</v>
      </c>
      <c r="F9" s="279">
        <v>306</v>
      </c>
      <c r="G9" s="77" t="s">
        <v>1229</v>
      </c>
      <c r="H9" s="279">
        <v>71</v>
      </c>
      <c r="I9" s="77" t="s">
        <v>1229</v>
      </c>
    </row>
    <row r="10" spans="1:10" ht="42.75" customHeight="1">
      <c r="A10" s="231" t="s">
        <v>621</v>
      </c>
      <c r="B10" s="508">
        <v>1.45</v>
      </c>
      <c r="C10" s="77" t="s">
        <v>1229</v>
      </c>
      <c r="D10" s="77">
        <v>65.5</v>
      </c>
      <c r="E10" s="77" t="s">
        <v>1229</v>
      </c>
      <c r="F10" s="279">
        <v>363.5</v>
      </c>
      <c r="G10" s="77" t="s">
        <v>1229</v>
      </c>
      <c r="H10" s="279">
        <v>23</v>
      </c>
      <c r="I10" s="77" t="s">
        <v>1229</v>
      </c>
    </row>
    <row r="11" spans="1:10" ht="42.75" customHeight="1">
      <c r="A11" s="703" t="s">
        <v>206</v>
      </c>
      <c r="B11" s="546">
        <v>1.0509999999999999</v>
      </c>
      <c r="C11" s="78" t="s">
        <v>1229</v>
      </c>
      <c r="D11" s="1574">
        <v>338</v>
      </c>
      <c r="E11" s="78" t="s">
        <v>1229</v>
      </c>
      <c r="F11" s="538">
        <v>289</v>
      </c>
      <c r="G11" s="78" t="s">
        <v>1229</v>
      </c>
      <c r="H11" s="538">
        <v>23.66</v>
      </c>
      <c r="I11" s="78" t="s">
        <v>1229</v>
      </c>
      <c r="J11" s="7"/>
    </row>
    <row r="12" spans="1:10">
      <c r="A12" s="1005"/>
      <c r="B12" s="994"/>
      <c r="C12" s="994"/>
      <c r="D12" s="14"/>
      <c r="E12" s="14"/>
      <c r="F12" s="14"/>
      <c r="G12" s="14"/>
      <c r="I12" s="1008" t="s">
        <v>1416</v>
      </c>
    </row>
    <row r="13" spans="1:10">
      <c r="A13" s="2"/>
      <c r="B13" s="2"/>
      <c r="C13" s="2"/>
      <c r="D13" s="38"/>
      <c r="E13" s="38"/>
      <c r="F13" s="38"/>
      <c r="G13" s="38"/>
    </row>
    <row r="14" spans="1:10">
      <c r="A14" s="697"/>
      <c r="B14" s="697"/>
    </row>
    <row r="15" spans="1:10">
      <c r="A15" s="697"/>
      <c r="B15" s="697"/>
    </row>
  </sheetData>
  <mergeCells count="5">
    <mergeCell ref="A1:I1"/>
    <mergeCell ref="A4:A5"/>
    <mergeCell ref="B4:E4"/>
    <mergeCell ref="F4:I4"/>
    <mergeCell ref="A2:I2"/>
  </mergeCells>
  <phoneticPr fontId="0" type="noConversion"/>
  <printOptions horizontalCentered="1"/>
  <pageMargins left="0.1" right="0.1" top="1.21" bottom="0.1" header="0.78" footer="0.1"/>
  <pageSetup paperSize="9" orientation="landscape" blackAndWhite="1" r:id="rId1"/>
  <headerFooter alignWithMargins="0"/>
</worksheet>
</file>

<file path=xl/worksheets/sheet6.xml><?xml version="1.0" encoding="utf-8"?>
<worksheet xmlns="http://schemas.openxmlformats.org/spreadsheetml/2006/main" xmlns:r="http://schemas.openxmlformats.org/officeDocument/2006/relationships">
  <sheetPr codeName="Sheet3"/>
  <dimension ref="A2:I31"/>
  <sheetViews>
    <sheetView workbookViewId="0">
      <selection activeCell="J11" sqref="J11"/>
    </sheetView>
  </sheetViews>
  <sheetFormatPr defaultRowHeight="12.75"/>
  <cols>
    <col min="1" max="1" width="20.5703125" customWidth="1"/>
    <col min="2" max="5" width="12.7109375" customWidth="1"/>
    <col min="6" max="6" width="14" customWidth="1"/>
    <col min="7" max="8" width="15.5703125" customWidth="1"/>
  </cols>
  <sheetData>
    <row r="2" spans="1:9">
      <c r="A2" s="1708" t="s">
        <v>338</v>
      </c>
      <c r="B2" s="1708"/>
      <c r="C2" s="1708"/>
      <c r="D2" s="1708"/>
      <c r="E2" s="1708"/>
      <c r="F2" s="1708"/>
      <c r="G2" s="1708"/>
      <c r="H2" s="1708"/>
    </row>
    <row r="3" spans="1:9" ht="19.5" customHeight="1">
      <c r="A3" s="1720" t="str">
        <f>CONCATENATE("Geographical Location of ",District!$A$1," district and its headquarters")</f>
        <v>Geographical Location of South 24-Parganas district and its headquarters</v>
      </c>
      <c r="B3" s="1720"/>
      <c r="C3" s="1720"/>
      <c r="D3" s="1720"/>
      <c r="E3" s="1720"/>
      <c r="F3" s="1720"/>
      <c r="G3" s="1720"/>
      <c r="H3" s="1720"/>
    </row>
    <row r="4" spans="1:9" s="7" customFormat="1" ht="18.75" customHeight="1">
      <c r="A4" s="1721" t="s">
        <v>920</v>
      </c>
      <c r="B4" s="1728" t="s">
        <v>921</v>
      </c>
      <c r="C4" s="1729"/>
      <c r="D4" s="1728" t="s">
        <v>922</v>
      </c>
      <c r="E4" s="1729"/>
      <c r="F4" s="1721" t="s">
        <v>1193</v>
      </c>
      <c r="G4" s="1721" t="s">
        <v>921</v>
      </c>
      <c r="H4" s="1721" t="s">
        <v>922</v>
      </c>
    </row>
    <row r="5" spans="1:9" s="7" customFormat="1" ht="18.75" customHeight="1">
      <c r="A5" s="1722"/>
      <c r="B5" s="256" t="s">
        <v>923</v>
      </c>
      <c r="C5" s="255" t="s">
        <v>924</v>
      </c>
      <c r="D5" s="254" t="s">
        <v>925</v>
      </c>
      <c r="E5" s="253" t="s">
        <v>927</v>
      </c>
      <c r="F5" s="1722"/>
      <c r="G5" s="1722"/>
      <c r="H5" s="1722"/>
      <c r="I5" s="146"/>
    </row>
    <row r="6" spans="1:9" ht="24" customHeight="1">
      <c r="A6" s="118" t="s">
        <v>928</v>
      </c>
      <c r="B6" s="199" t="s">
        <v>929</v>
      </c>
      <c r="C6" s="120" t="s">
        <v>930</v>
      </c>
      <c r="D6" s="121" t="s">
        <v>931</v>
      </c>
      <c r="E6" s="123" t="s">
        <v>932</v>
      </c>
      <c r="F6" s="123" t="s">
        <v>933</v>
      </c>
      <c r="G6" s="123" t="s">
        <v>934</v>
      </c>
      <c r="H6" s="123" t="s">
        <v>959</v>
      </c>
    </row>
    <row r="7" spans="1:9" ht="48" customHeight="1">
      <c r="A7" s="147" t="str">
        <f>District!$A$1</f>
        <v>South 24-Parganas</v>
      </c>
      <c r="B7" s="48" t="s">
        <v>711</v>
      </c>
      <c r="C7" s="42" t="s">
        <v>712</v>
      </c>
      <c r="D7" s="45" t="s">
        <v>713</v>
      </c>
      <c r="E7" s="48" t="s">
        <v>714</v>
      </c>
      <c r="F7" s="1330" t="s">
        <v>1547</v>
      </c>
      <c r="G7" s="48" t="s">
        <v>715</v>
      </c>
      <c r="H7" s="48" t="s">
        <v>716</v>
      </c>
    </row>
    <row r="8" spans="1:9">
      <c r="B8" s="7"/>
      <c r="D8" s="7"/>
      <c r="E8" s="1727" t="s">
        <v>382</v>
      </c>
      <c r="F8" s="1727"/>
      <c r="G8" s="1727"/>
      <c r="H8" s="1727"/>
    </row>
    <row r="9" spans="1:9">
      <c r="B9" s="7"/>
      <c r="C9" s="7"/>
      <c r="D9" s="7"/>
    </row>
    <row r="10" spans="1:9">
      <c r="A10" s="1708" t="s">
        <v>470</v>
      </c>
      <c r="B10" s="1708"/>
      <c r="C10" s="1708"/>
      <c r="D10" s="1708"/>
      <c r="E10" s="1708"/>
      <c r="F10" s="1708"/>
      <c r="G10" s="1708"/>
      <c r="H10" s="1708"/>
    </row>
    <row r="11" spans="1:9" ht="16.5">
      <c r="A11" s="1715" t="str">
        <f>CONCATENATE("Monthly Rainfall in the district of ",District!$A$1)</f>
        <v>Monthly Rainfall in the district of South 24-Parganas</v>
      </c>
      <c r="B11" s="1715"/>
      <c r="C11" s="1715"/>
      <c r="D11" s="1715"/>
      <c r="E11" s="1715"/>
      <c r="F11" s="1715"/>
      <c r="G11" s="1715"/>
      <c r="H11" s="1715"/>
    </row>
    <row r="12" spans="1:9">
      <c r="C12" s="95"/>
      <c r="D12" s="95"/>
      <c r="E12" s="95"/>
      <c r="F12" s="95"/>
      <c r="G12" s="95"/>
      <c r="H12" s="95" t="s">
        <v>992</v>
      </c>
    </row>
    <row r="13" spans="1:9" ht="15" customHeight="1">
      <c r="A13" s="1723" t="s">
        <v>935</v>
      </c>
      <c r="B13" s="1724"/>
      <c r="C13" s="142" t="s">
        <v>936</v>
      </c>
      <c r="D13" s="1713" t="s">
        <v>937</v>
      </c>
      <c r="E13" s="1713"/>
      <c r="F13" s="1713"/>
      <c r="G13" s="1713"/>
      <c r="H13" s="1714"/>
    </row>
    <row r="14" spans="1:9" ht="15" customHeight="1">
      <c r="A14" s="1725"/>
      <c r="B14" s="1726"/>
      <c r="C14" s="457">
        <f>$H$14</f>
        <v>2014</v>
      </c>
      <c r="D14" s="142">
        <v>2010</v>
      </c>
      <c r="E14" s="892">
        <v>2011</v>
      </c>
      <c r="F14" s="666">
        <v>2012</v>
      </c>
      <c r="G14" s="666">
        <v>2013</v>
      </c>
      <c r="H14" s="666">
        <v>2014</v>
      </c>
    </row>
    <row r="15" spans="1:9" ht="15" customHeight="1">
      <c r="A15" s="1716" t="s">
        <v>928</v>
      </c>
      <c r="B15" s="1717"/>
      <c r="C15" s="196" t="s">
        <v>929</v>
      </c>
      <c r="D15" s="196" t="s">
        <v>930</v>
      </c>
      <c r="E15" s="258" t="s">
        <v>931</v>
      </c>
      <c r="F15" s="196" t="s">
        <v>932</v>
      </c>
      <c r="G15" s="304" t="s">
        <v>933</v>
      </c>
      <c r="H15" s="304" t="s">
        <v>934</v>
      </c>
    </row>
    <row r="16" spans="1:9" ht="18" customHeight="1">
      <c r="A16" s="1718" t="s">
        <v>938</v>
      </c>
      <c r="B16" s="1719"/>
      <c r="C16" s="77">
        <v>11</v>
      </c>
      <c r="D16" s="296" t="s">
        <v>1229</v>
      </c>
      <c r="E16" s="296" t="s">
        <v>1229</v>
      </c>
      <c r="F16" s="296">
        <v>53</v>
      </c>
      <c r="G16" s="296">
        <v>2</v>
      </c>
      <c r="H16" s="296" t="s">
        <v>1229</v>
      </c>
    </row>
    <row r="17" spans="1:8" ht="18" customHeight="1">
      <c r="A17" s="1718" t="s">
        <v>939</v>
      </c>
      <c r="B17" s="1719"/>
      <c r="C17" s="77">
        <v>24</v>
      </c>
      <c r="D17" s="77">
        <v>1</v>
      </c>
      <c r="E17" s="82">
        <v>7</v>
      </c>
      <c r="F17" s="77">
        <v>14</v>
      </c>
      <c r="G17" s="77">
        <v>7</v>
      </c>
      <c r="H17" s="77">
        <v>51</v>
      </c>
    </row>
    <row r="18" spans="1:8" ht="18" customHeight="1">
      <c r="A18" s="1709" t="s">
        <v>940</v>
      </c>
      <c r="B18" s="1710"/>
      <c r="C18" s="77">
        <v>31</v>
      </c>
      <c r="D18" s="77">
        <v>2</v>
      </c>
      <c r="E18" s="82">
        <v>24</v>
      </c>
      <c r="F18" s="77">
        <v>4</v>
      </c>
      <c r="G18" s="77">
        <v>4</v>
      </c>
      <c r="H18" s="77">
        <v>13</v>
      </c>
    </row>
    <row r="19" spans="1:8" ht="18" customHeight="1">
      <c r="A19" s="1709" t="s">
        <v>949</v>
      </c>
      <c r="B19" s="1710"/>
      <c r="C19" s="77">
        <v>53</v>
      </c>
      <c r="D19" s="77">
        <v>3</v>
      </c>
      <c r="E19" s="82">
        <v>35</v>
      </c>
      <c r="F19" s="77">
        <v>50</v>
      </c>
      <c r="G19" s="77">
        <v>46</v>
      </c>
      <c r="H19" s="1615" t="s">
        <v>1229</v>
      </c>
    </row>
    <row r="20" spans="1:8" ht="18" customHeight="1">
      <c r="A20" s="1709" t="s">
        <v>950</v>
      </c>
      <c r="B20" s="1710"/>
      <c r="C20" s="77">
        <v>123</v>
      </c>
      <c r="D20" s="77">
        <v>115</v>
      </c>
      <c r="E20" s="82">
        <v>89</v>
      </c>
      <c r="F20" s="77">
        <v>42</v>
      </c>
      <c r="G20" s="77">
        <v>180</v>
      </c>
      <c r="H20" s="77">
        <v>148</v>
      </c>
    </row>
    <row r="21" spans="1:8" ht="18" customHeight="1">
      <c r="A21" s="1709" t="s">
        <v>951</v>
      </c>
      <c r="B21" s="1710"/>
      <c r="C21" s="77">
        <v>310</v>
      </c>
      <c r="D21" s="77">
        <v>237</v>
      </c>
      <c r="E21" s="82">
        <v>342</v>
      </c>
      <c r="F21" s="77">
        <v>146</v>
      </c>
      <c r="G21" s="77">
        <v>275</v>
      </c>
      <c r="H21" s="77">
        <v>182</v>
      </c>
    </row>
    <row r="22" spans="1:8" ht="18" customHeight="1">
      <c r="A22" s="1709" t="s">
        <v>952</v>
      </c>
      <c r="B22" s="1710"/>
      <c r="C22" s="77">
        <v>387</v>
      </c>
      <c r="D22" s="77">
        <v>245</v>
      </c>
      <c r="E22" s="82">
        <v>210</v>
      </c>
      <c r="F22" s="77">
        <v>355</v>
      </c>
      <c r="G22" s="77">
        <v>370</v>
      </c>
      <c r="H22" s="77">
        <v>296</v>
      </c>
    </row>
    <row r="23" spans="1:8" ht="18" customHeight="1">
      <c r="A23" s="1709" t="s">
        <v>953</v>
      </c>
      <c r="B23" s="1710"/>
      <c r="C23" s="77">
        <v>409</v>
      </c>
      <c r="D23" s="77">
        <v>258</v>
      </c>
      <c r="E23" s="82">
        <v>522</v>
      </c>
      <c r="F23" s="77">
        <v>323</v>
      </c>
      <c r="G23" s="77">
        <v>643</v>
      </c>
      <c r="H23" s="77">
        <v>337</v>
      </c>
    </row>
    <row r="24" spans="1:8" ht="18" customHeight="1">
      <c r="A24" s="1709" t="s">
        <v>954</v>
      </c>
      <c r="B24" s="1710"/>
      <c r="C24" s="77">
        <v>340</v>
      </c>
      <c r="D24" s="77">
        <v>215</v>
      </c>
      <c r="E24" s="82">
        <v>276</v>
      </c>
      <c r="F24" s="77">
        <v>305</v>
      </c>
      <c r="G24" s="77">
        <v>297</v>
      </c>
      <c r="H24" s="77">
        <v>291</v>
      </c>
    </row>
    <row r="25" spans="1:8" ht="18" customHeight="1">
      <c r="A25" s="1709" t="s">
        <v>955</v>
      </c>
      <c r="B25" s="1710"/>
      <c r="C25" s="77">
        <v>135</v>
      </c>
      <c r="D25" s="77">
        <v>130</v>
      </c>
      <c r="E25" s="82">
        <v>30</v>
      </c>
      <c r="F25" s="77">
        <v>70</v>
      </c>
      <c r="G25" s="77">
        <v>354</v>
      </c>
      <c r="H25" s="77">
        <v>94</v>
      </c>
    </row>
    <row r="26" spans="1:8" ht="18" customHeight="1">
      <c r="A26" s="1709" t="s">
        <v>956</v>
      </c>
      <c r="B26" s="1710"/>
      <c r="C26" s="77">
        <v>42</v>
      </c>
      <c r="D26" s="77">
        <v>5</v>
      </c>
      <c r="E26" s="1120" t="s">
        <v>1229</v>
      </c>
      <c r="F26" s="702">
        <v>27</v>
      </c>
      <c r="G26" s="702" t="s">
        <v>1229</v>
      </c>
      <c r="H26" s="1615" t="s">
        <v>1229</v>
      </c>
    </row>
    <row r="27" spans="1:8" ht="18" customHeight="1">
      <c r="A27" s="1709" t="s">
        <v>957</v>
      </c>
      <c r="B27" s="1710"/>
      <c r="C27" s="78">
        <v>11</v>
      </c>
      <c r="D27" s="78">
        <v>16</v>
      </c>
      <c r="E27" s="1492" t="s">
        <v>1229</v>
      </c>
      <c r="F27" s="1118">
        <v>31</v>
      </c>
      <c r="G27" s="1118" t="s">
        <v>1229</v>
      </c>
      <c r="H27" s="1616" t="s">
        <v>1229</v>
      </c>
    </row>
    <row r="28" spans="1:8" ht="15" customHeight="1">
      <c r="A28" s="1711" t="s">
        <v>958</v>
      </c>
      <c r="B28" s="1712"/>
      <c r="C28" s="601">
        <f t="shared" ref="C28:H28" si="0">SUM(C16:C27)</f>
        <v>1876</v>
      </c>
      <c r="D28" s="601">
        <f t="shared" si="0"/>
        <v>1227</v>
      </c>
      <c r="E28" s="601">
        <f t="shared" si="0"/>
        <v>1535</v>
      </c>
      <c r="F28" s="601">
        <f t="shared" si="0"/>
        <v>1420</v>
      </c>
      <c r="G28" s="601">
        <f t="shared" si="0"/>
        <v>2178</v>
      </c>
      <c r="H28" s="601">
        <f t="shared" si="0"/>
        <v>1412</v>
      </c>
    </row>
    <row r="29" spans="1:8">
      <c r="F29" s="1065" t="s">
        <v>454</v>
      </c>
      <c r="G29" s="1154" t="s">
        <v>574</v>
      </c>
    </row>
    <row r="30" spans="1:8">
      <c r="F30" s="1154"/>
      <c r="G30" s="1154" t="s">
        <v>455</v>
      </c>
    </row>
    <row r="31" spans="1:8">
      <c r="E31" s="1065"/>
      <c r="F31" s="1154"/>
    </row>
  </sheetData>
  <mergeCells count="27">
    <mergeCell ref="A19:B19"/>
    <mergeCell ref="A3:H3"/>
    <mergeCell ref="A4:A5"/>
    <mergeCell ref="F4:F5"/>
    <mergeCell ref="G4:G5"/>
    <mergeCell ref="H4:H5"/>
    <mergeCell ref="A13:B14"/>
    <mergeCell ref="E8:H8"/>
    <mergeCell ref="B4:C4"/>
    <mergeCell ref="D4:E4"/>
    <mergeCell ref="A10:H10"/>
    <mergeCell ref="A2:H2"/>
    <mergeCell ref="A27:B27"/>
    <mergeCell ref="A28:B28"/>
    <mergeCell ref="D13:H13"/>
    <mergeCell ref="A11:H11"/>
    <mergeCell ref="A23:B23"/>
    <mergeCell ref="A24:B24"/>
    <mergeCell ref="A25:B25"/>
    <mergeCell ref="A26:B26"/>
    <mergeCell ref="A20:B20"/>
    <mergeCell ref="A21:B21"/>
    <mergeCell ref="A22:B22"/>
    <mergeCell ref="A15:B15"/>
    <mergeCell ref="A16:B16"/>
    <mergeCell ref="A17:B17"/>
    <mergeCell ref="A18:B18"/>
  </mergeCells>
  <phoneticPr fontId="0" type="noConversion"/>
  <printOptions horizontalCentered="1"/>
  <pageMargins left="0.1" right="0.1" top="0.4" bottom="0.1" header="0.43" footer="0.1"/>
  <pageSetup paperSize="9" orientation="landscape" blackAndWhite="1" r:id="rId1"/>
  <headerFooter alignWithMargins="0"/>
</worksheet>
</file>

<file path=xl/worksheets/sheet60.xml><?xml version="1.0" encoding="utf-8"?>
<worksheet xmlns="http://schemas.openxmlformats.org/spreadsheetml/2006/main" xmlns:r="http://schemas.openxmlformats.org/officeDocument/2006/relationships">
  <dimension ref="A3:L21"/>
  <sheetViews>
    <sheetView workbookViewId="0">
      <selection activeCell="J11" sqref="J11"/>
    </sheetView>
  </sheetViews>
  <sheetFormatPr defaultRowHeight="12.75"/>
  <cols>
    <col min="1" max="1" width="4" customWidth="1"/>
    <col min="2" max="2" width="35.7109375" customWidth="1"/>
    <col min="3" max="3" width="17.140625" customWidth="1"/>
    <col min="4" max="4" width="17.7109375" customWidth="1"/>
    <col min="5" max="6" width="17.28515625" customWidth="1"/>
    <col min="7" max="7" width="18.140625" customWidth="1"/>
    <col min="8" max="8" width="14.85546875" customWidth="1"/>
  </cols>
  <sheetData>
    <row r="3" spans="1:12" ht="15.75" customHeight="1">
      <c r="A3" s="2104" t="s">
        <v>779</v>
      </c>
      <c r="B3" s="2104"/>
      <c r="C3" s="2104"/>
      <c r="D3" s="2104"/>
      <c r="E3" s="2104"/>
      <c r="F3" s="2104"/>
      <c r="G3" s="2104"/>
    </row>
    <row r="4" spans="1:12" ht="20.25" customHeight="1">
      <c r="A4" s="2105" t="str">
        <f>CONCATENATE("Employment in Registered Factories and State Government Offices in the district of ",District!$A$1)</f>
        <v>Employment in Registered Factories and State Government Offices in the district of South 24-Parganas</v>
      </c>
      <c r="B4" s="2105"/>
      <c r="C4" s="2105"/>
      <c r="D4" s="2105"/>
      <c r="E4" s="2105"/>
      <c r="F4" s="2105"/>
      <c r="G4" s="2105"/>
      <c r="H4" s="41"/>
      <c r="I4" s="41"/>
      <c r="J4" s="41"/>
      <c r="K4" s="29"/>
    </row>
    <row r="5" spans="1:12" s="1045" customFormat="1" ht="15.75" customHeight="1">
      <c r="D5" s="1046"/>
      <c r="E5" s="1046"/>
      <c r="F5" s="1046"/>
      <c r="G5" s="1047" t="s">
        <v>977</v>
      </c>
      <c r="H5" s="1048"/>
      <c r="I5" s="1049"/>
      <c r="J5" s="1049"/>
      <c r="K5" s="1049"/>
    </row>
    <row r="6" spans="1:12" s="1051" customFormat="1" ht="28.5" customHeight="1">
      <c r="A6" s="2108" t="s">
        <v>1761</v>
      </c>
      <c r="B6" s="2109"/>
      <c r="C6" s="1042">
        <v>2010</v>
      </c>
      <c r="D6" s="890">
        <v>2011</v>
      </c>
      <c r="E6" s="890">
        <v>2012</v>
      </c>
      <c r="F6" s="890">
        <v>2013</v>
      </c>
      <c r="G6" s="890">
        <v>2014</v>
      </c>
      <c r="H6" s="1050"/>
      <c r="I6" s="1050"/>
      <c r="J6" s="1050"/>
      <c r="K6" s="748"/>
    </row>
    <row r="7" spans="1:12" s="159" customFormat="1" ht="19.5" customHeight="1">
      <c r="A7" s="2106" t="s">
        <v>928</v>
      </c>
      <c r="B7" s="2107"/>
      <c r="C7" s="1053" t="s">
        <v>929</v>
      </c>
      <c r="D7" s="1054" t="s">
        <v>930</v>
      </c>
      <c r="E7" s="1053" t="s">
        <v>931</v>
      </c>
      <c r="F7" s="1052" t="s">
        <v>932</v>
      </c>
      <c r="G7" s="1053" t="s">
        <v>933</v>
      </c>
      <c r="H7" s="1055"/>
      <c r="I7" s="1056"/>
      <c r="J7" s="1056"/>
      <c r="K7" s="1056"/>
    </row>
    <row r="8" spans="1:12" ht="42.75" customHeight="1">
      <c r="A8" s="1313" t="s">
        <v>1375</v>
      </c>
      <c r="B8" s="1499" t="s">
        <v>492</v>
      </c>
      <c r="C8" s="57"/>
      <c r="D8" s="7"/>
      <c r="E8" s="57"/>
      <c r="F8" s="583"/>
      <c r="G8" s="57"/>
      <c r="H8" s="7"/>
      <c r="I8" s="7"/>
      <c r="J8" s="7"/>
    </row>
    <row r="9" spans="1:12" ht="42.75" customHeight="1">
      <c r="A9" s="1057"/>
      <c r="B9" s="1058" t="s">
        <v>38</v>
      </c>
      <c r="C9" s="392">
        <v>7052</v>
      </c>
      <c r="D9" s="82">
        <v>7173</v>
      </c>
      <c r="E9" s="82">
        <v>7381</v>
      </c>
      <c r="F9" s="392" t="s">
        <v>89</v>
      </c>
      <c r="G9" s="1637" t="s">
        <v>1901</v>
      </c>
      <c r="H9" s="39"/>
    </row>
    <row r="10" spans="1:12" ht="47.25" customHeight="1">
      <c r="A10" s="1057"/>
      <c r="B10" s="1058" t="s">
        <v>39</v>
      </c>
      <c r="C10" s="392">
        <v>424775</v>
      </c>
      <c r="D10" s="82">
        <v>430193</v>
      </c>
      <c r="E10" s="82">
        <v>435719</v>
      </c>
      <c r="F10" s="392" t="s">
        <v>90</v>
      </c>
      <c r="G10" s="1637" t="s">
        <v>1902</v>
      </c>
      <c r="H10" s="39"/>
    </row>
    <row r="11" spans="1:12" ht="58.5" customHeight="1">
      <c r="A11" s="1059" t="s">
        <v>500</v>
      </c>
      <c r="B11" s="1498" t="s">
        <v>1903</v>
      </c>
      <c r="C11" s="640" t="s">
        <v>857</v>
      </c>
      <c r="D11" s="443">
        <v>20805</v>
      </c>
      <c r="E11" s="443" t="s">
        <v>857</v>
      </c>
      <c r="F11" s="443">
        <v>20437</v>
      </c>
      <c r="G11" s="443">
        <v>20944</v>
      </c>
      <c r="H11" s="39"/>
      <c r="I11" s="7"/>
      <c r="J11" s="370"/>
      <c r="K11" s="7"/>
      <c r="L11" s="370"/>
    </row>
    <row r="12" spans="1:12" ht="12" customHeight="1">
      <c r="A12" s="1095"/>
      <c r="B12" s="1060"/>
      <c r="C12" s="1061"/>
      <c r="E12" s="1062" t="s">
        <v>610</v>
      </c>
      <c r="F12" s="1063" t="s">
        <v>501</v>
      </c>
      <c r="G12" s="1063"/>
      <c r="H12" s="7"/>
      <c r="I12" s="7"/>
      <c r="J12" s="7"/>
      <c r="K12" s="7"/>
      <c r="L12" s="7"/>
    </row>
    <row r="13" spans="1:12" ht="12" customHeight="1">
      <c r="B13" s="1060"/>
      <c r="C13" s="1064"/>
      <c r="D13" s="1063"/>
      <c r="E13" s="1065" t="s">
        <v>615</v>
      </c>
      <c r="F13" s="1063" t="s">
        <v>502</v>
      </c>
      <c r="G13" s="1063"/>
      <c r="H13" s="7"/>
      <c r="I13" s="7"/>
      <c r="J13" s="7"/>
    </row>
    <row r="14" spans="1:12" ht="12.75" customHeight="1">
      <c r="A14" s="1066"/>
      <c r="B14" s="1066"/>
      <c r="C14" s="1066"/>
      <c r="D14" s="1063"/>
      <c r="E14" s="1063"/>
      <c r="F14" s="1067"/>
      <c r="G14" s="1063"/>
      <c r="H14" s="7"/>
      <c r="I14" s="7"/>
      <c r="J14" s="7"/>
    </row>
    <row r="15" spans="1:12" ht="12.75" customHeight="1">
      <c r="A15" s="1066"/>
      <c r="B15" s="1066"/>
      <c r="C15" s="1066"/>
      <c r="D15" s="1063"/>
      <c r="E15" s="1068"/>
      <c r="F15" s="1069"/>
      <c r="G15" s="1069"/>
      <c r="H15" s="7"/>
      <c r="I15" s="7"/>
      <c r="J15" s="7"/>
    </row>
    <row r="16" spans="1:12" ht="12" customHeight="1">
      <c r="A16" s="1066"/>
      <c r="B16" s="1066"/>
      <c r="C16" s="1066"/>
      <c r="D16" s="1061"/>
      <c r="E16" s="1069"/>
      <c r="F16" s="1069"/>
      <c r="G16" s="1069"/>
      <c r="H16" s="7"/>
      <c r="I16" s="7"/>
      <c r="J16" s="7"/>
    </row>
    <row r="17" spans="2:11" ht="18" customHeight="1">
      <c r="B17" s="19"/>
      <c r="C17" s="7"/>
      <c r="D17" s="7"/>
      <c r="E17" s="7"/>
      <c r="F17" s="7"/>
      <c r="G17" s="7"/>
      <c r="H17" s="7"/>
      <c r="I17" s="7"/>
      <c r="J17" s="7"/>
    </row>
    <row r="18" spans="2:11" ht="18" customHeight="1">
      <c r="B18" s="19"/>
      <c r="C18" s="7"/>
      <c r="D18" s="7"/>
      <c r="E18" s="7"/>
      <c r="F18" s="7"/>
      <c r="G18" s="7"/>
      <c r="H18" s="7"/>
      <c r="I18" s="7"/>
      <c r="J18" s="7"/>
    </row>
    <row r="19" spans="2:11" ht="18" customHeight="1">
      <c r="B19" s="8"/>
      <c r="C19" s="7"/>
      <c r="D19" s="7"/>
      <c r="E19" s="7"/>
      <c r="F19" s="7"/>
      <c r="G19" s="7"/>
      <c r="H19" s="7"/>
      <c r="I19" s="7"/>
      <c r="J19" s="7"/>
      <c r="K19" s="7"/>
    </row>
    <row r="20" spans="2:11">
      <c r="B20" s="10"/>
      <c r="C20" s="38"/>
      <c r="D20" s="14"/>
      <c r="E20" s="14"/>
      <c r="F20" s="14"/>
      <c r="H20" s="14"/>
    </row>
    <row r="21" spans="2:11">
      <c r="C21" s="38"/>
      <c r="D21" s="38"/>
      <c r="E21" s="38"/>
      <c r="F21" s="38"/>
      <c r="G21" s="38"/>
      <c r="H21" s="38"/>
    </row>
  </sheetData>
  <mergeCells count="4">
    <mergeCell ref="A3:G3"/>
    <mergeCell ref="A4:G4"/>
    <mergeCell ref="A7:B7"/>
    <mergeCell ref="A6:B6"/>
  </mergeCells>
  <phoneticPr fontId="0" type="noConversion"/>
  <conditionalFormatting sqref="A1:A1048576 I11:M65536 N1:IV1048576 I1:M8 G1:H1048576 B1:F5 B7:F65536 C6:F6">
    <cfRule type="cellIs" dxfId="10" priority="1" stopIfTrue="1" operator="equal">
      <formula>".."</formula>
    </cfRule>
  </conditionalFormatting>
  <printOptions horizontalCentered="1"/>
  <pageMargins left="0.1" right="0.1" top="0.95" bottom="0.1" header="0.5" footer="0.1"/>
  <pageSetup paperSize="9" orientation="landscape" blackAndWhite="1" r:id="rId1"/>
  <headerFooter alignWithMargins="0"/>
</worksheet>
</file>

<file path=xl/worksheets/sheet61.xml><?xml version="1.0" encoding="utf-8"?>
<worksheet xmlns="http://schemas.openxmlformats.org/spreadsheetml/2006/main" xmlns:r="http://schemas.openxmlformats.org/officeDocument/2006/relationships">
  <dimension ref="A1:M33"/>
  <sheetViews>
    <sheetView workbookViewId="0">
      <selection activeCell="P37" sqref="P37"/>
    </sheetView>
  </sheetViews>
  <sheetFormatPr defaultRowHeight="12.75"/>
  <cols>
    <col min="1" max="1" width="11" customWidth="1"/>
    <col min="2" max="13" width="9.42578125" customWidth="1"/>
  </cols>
  <sheetData>
    <row r="1" spans="1:13" ht="12.75" customHeight="1">
      <c r="A1" s="1708" t="s">
        <v>1751</v>
      </c>
      <c r="B1" s="1708"/>
      <c r="C1" s="1708"/>
      <c r="D1" s="1708"/>
      <c r="E1" s="1708"/>
      <c r="F1" s="1708"/>
      <c r="G1" s="1708"/>
      <c r="H1" s="1708"/>
      <c r="I1" s="1708"/>
      <c r="J1" s="1708"/>
      <c r="K1" s="1708"/>
      <c r="L1" s="1708"/>
      <c r="M1" s="1708"/>
    </row>
    <row r="2" spans="1:13" ht="14.25" customHeight="1">
      <c r="A2" s="2134" t="str">
        <f>CONCATENATE("Number of Establishments in rural and urban areas in the district of ",District!$A$1)</f>
        <v>Number of Establishments in rural and urban areas in the district of South 24-Parganas</v>
      </c>
      <c r="B2" s="2134"/>
      <c r="C2" s="2134"/>
      <c r="D2" s="2134"/>
      <c r="E2" s="2134"/>
      <c r="F2" s="2134"/>
      <c r="G2" s="2134"/>
      <c r="H2" s="2134"/>
      <c r="I2" s="2134"/>
      <c r="J2" s="2134"/>
      <c r="K2" s="2134"/>
      <c r="L2" s="2134"/>
      <c r="M2" s="2134"/>
    </row>
    <row r="3" spans="1:13" ht="14.25" customHeight="1">
      <c r="A3" s="863"/>
      <c r="B3" s="864"/>
      <c r="C3" s="864"/>
      <c r="D3" s="864"/>
      <c r="E3" s="864"/>
      <c r="F3" s="864"/>
      <c r="G3" s="864"/>
      <c r="H3" s="864"/>
      <c r="I3" s="864"/>
      <c r="J3" s="864"/>
      <c r="K3" s="864"/>
      <c r="L3" s="864"/>
      <c r="M3" s="865"/>
    </row>
    <row r="4" spans="1:13" ht="15" customHeight="1">
      <c r="A4" s="1737" t="s">
        <v>1760</v>
      </c>
      <c r="B4" s="1713" t="s">
        <v>1752</v>
      </c>
      <c r="C4" s="1713"/>
      <c r="D4" s="1713"/>
      <c r="E4" s="1726"/>
      <c r="F4" s="1732" t="s">
        <v>1834</v>
      </c>
      <c r="G4" s="1713"/>
      <c r="H4" s="1713"/>
      <c r="I4" s="1714"/>
      <c r="J4" s="1732" t="s">
        <v>1156</v>
      </c>
      <c r="K4" s="1713"/>
      <c r="L4" s="1713"/>
      <c r="M4" s="1714"/>
    </row>
    <row r="5" spans="1:13" ht="13.5" customHeight="1">
      <c r="A5" s="1743"/>
      <c r="B5" s="1713">
        <v>2005</v>
      </c>
      <c r="C5" s="1714"/>
      <c r="D5" s="1713">
        <v>2013</v>
      </c>
      <c r="E5" s="1714"/>
      <c r="F5" s="1713">
        <v>2005</v>
      </c>
      <c r="G5" s="1714"/>
      <c r="H5" s="1713">
        <v>2013</v>
      </c>
      <c r="I5" s="1714"/>
      <c r="J5" s="1713">
        <v>2005</v>
      </c>
      <c r="K5" s="1714"/>
      <c r="L5" s="1713">
        <v>2013</v>
      </c>
      <c r="M5" s="1714"/>
    </row>
    <row r="6" spans="1:13" ht="26.25" customHeight="1">
      <c r="A6" s="1743"/>
      <c r="B6" s="1020" t="s">
        <v>1762</v>
      </c>
      <c r="C6" s="1021" t="s">
        <v>1763</v>
      </c>
      <c r="D6" s="1020" t="s">
        <v>1762</v>
      </c>
      <c r="E6" s="1021" t="s">
        <v>1763</v>
      </c>
      <c r="F6" s="1022" t="s">
        <v>1762</v>
      </c>
      <c r="G6" s="1021" t="s">
        <v>1763</v>
      </c>
      <c r="H6" s="1023" t="s">
        <v>1762</v>
      </c>
      <c r="I6" s="1021" t="s">
        <v>1763</v>
      </c>
      <c r="J6" s="1022" t="s">
        <v>1762</v>
      </c>
      <c r="K6" s="1021" t="s">
        <v>1763</v>
      </c>
      <c r="L6" s="1020" t="s">
        <v>1762</v>
      </c>
      <c r="M6" s="1021" t="s">
        <v>1763</v>
      </c>
    </row>
    <row r="7" spans="1:13" ht="13.5" customHeight="1">
      <c r="A7" s="866" t="s">
        <v>928</v>
      </c>
      <c r="B7" s="867" t="s">
        <v>929</v>
      </c>
      <c r="C7" s="866" t="s">
        <v>930</v>
      </c>
      <c r="D7" s="867" t="s">
        <v>931</v>
      </c>
      <c r="E7" s="866" t="s">
        <v>932</v>
      </c>
      <c r="F7" s="868" t="s">
        <v>933</v>
      </c>
      <c r="G7" s="866" t="s">
        <v>934</v>
      </c>
      <c r="H7" s="867" t="s">
        <v>959</v>
      </c>
      <c r="I7" s="866" t="s">
        <v>960</v>
      </c>
      <c r="J7" s="869" t="s">
        <v>961</v>
      </c>
      <c r="K7" s="870" t="s">
        <v>962</v>
      </c>
      <c r="L7" s="871" t="s">
        <v>1037</v>
      </c>
      <c r="M7" s="870" t="s">
        <v>1038</v>
      </c>
    </row>
    <row r="8" spans="1:13" ht="17.25" customHeight="1">
      <c r="A8" s="975" t="s">
        <v>1006</v>
      </c>
      <c r="B8" s="976">
        <v>5390</v>
      </c>
      <c r="C8" s="634">
        <v>69015</v>
      </c>
      <c r="D8" s="976">
        <v>3928</v>
      </c>
      <c r="E8" s="634">
        <v>49231</v>
      </c>
      <c r="F8" s="976">
        <v>20491</v>
      </c>
      <c r="G8" s="634">
        <v>223544</v>
      </c>
      <c r="H8" s="976">
        <v>23199</v>
      </c>
      <c r="I8" s="634">
        <v>274749</v>
      </c>
      <c r="J8" s="661">
        <f t="shared" ref="J8:M9" si="0">B8+F8</f>
        <v>25881</v>
      </c>
      <c r="K8" s="296">
        <f t="shared" si="0"/>
        <v>292559</v>
      </c>
      <c r="L8" s="308">
        <f t="shared" si="0"/>
        <v>27127</v>
      </c>
      <c r="M8" s="296">
        <f t="shared" si="0"/>
        <v>323980</v>
      </c>
    </row>
    <row r="9" spans="1:13" ht="17.25" customHeight="1">
      <c r="A9" s="872" t="s">
        <v>1005</v>
      </c>
      <c r="B9" s="1636">
        <v>244</v>
      </c>
      <c r="C9" s="1636">
        <v>28643</v>
      </c>
      <c r="D9" s="89">
        <v>546</v>
      </c>
      <c r="E9" s="89">
        <v>41149</v>
      </c>
      <c r="F9" s="1636">
        <v>501</v>
      </c>
      <c r="G9" s="1636">
        <v>48228</v>
      </c>
      <c r="H9" s="89">
        <v>1722</v>
      </c>
      <c r="I9" s="89">
        <v>103557</v>
      </c>
      <c r="J9" s="82">
        <f t="shared" si="0"/>
        <v>745</v>
      </c>
      <c r="K9" s="82">
        <f t="shared" si="0"/>
        <v>76871</v>
      </c>
      <c r="L9" s="82">
        <f t="shared" si="0"/>
        <v>2268</v>
      </c>
      <c r="M9" s="77">
        <f t="shared" si="0"/>
        <v>144706</v>
      </c>
    </row>
    <row r="10" spans="1:13" ht="17.25" customHeight="1">
      <c r="A10" s="812" t="s">
        <v>958</v>
      </c>
      <c r="B10" s="25">
        <f t="shared" ref="B10:M10" si="1">B9+B8</f>
        <v>5634</v>
      </c>
      <c r="C10" s="78">
        <f t="shared" si="1"/>
        <v>97658</v>
      </c>
      <c r="D10" s="25">
        <f t="shared" si="1"/>
        <v>4474</v>
      </c>
      <c r="E10" s="78">
        <f t="shared" si="1"/>
        <v>90380</v>
      </c>
      <c r="F10" s="25">
        <f t="shared" si="1"/>
        <v>20992</v>
      </c>
      <c r="G10" s="78">
        <f t="shared" si="1"/>
        <v>271772</v>
      </c>
      <c r="H10" s="25">
        <f t="shared" si="1"/>
        <v>24921</v>
      </c>
      <c r="I10" s="78">
        <f t="shared" si="1"/>
        <v>378306</v>
      </c>
      <c r="J10" s="74">
        <f t="shared" si="1"/>
        <v>26626</v>
      </c>
      <c r="K10" s="78">
        <f t="shared" si="1"/>
        <v>369430</v>
      </c>
      <c r="L10" s="25">
        <f t="shared" si="1"/>
        <v>29395</v>
      </c>
      <c r="M10" s="78">
        <f t="shared" si="1"/>
        <v>468686</v>
      </c>
    </row>
    <row r="11" spans="1:13" ht="12.75" customHeight="1">
      <c r="M11" s="1156" t="s">
        <v>1898</v>
      </c>
    </row>
    <row r="12" spans="1:13" ht="12.75" customHeight="1">
      <c r="M12" s="873"/>
    </row>
    <row r="13" spans="1:13" ht="13.5" customHeight="1">
      <c r="A13" s="1708" t="s">
        <v>1753</v>
      </c>
      <c r="B13" s="1708"/>
      <c r="C13" s="1708"/>
      <c r="D13" s="1708"/>
      <c r="E13" s="1708"/>
      <c r="F13" s="1708"/>
      <c r="G13" s="1708"/>
      <c r="H13" s="1708"/>
      <c r="I13" s="1708"/>
      <c r="J13" s="1708"/>
      <c r="K13" s="1708"/>
      <c r="L13" s="1708"/>
      <c r="M13" s="1708"/>
    </row>
    <row r="14" spans="1:13" ht="13.5" customHeight="1">
      <c r="A14" s="2134" t="str">
        <f>CONCATENATE("Number of Persons usually working in rural and urban Establishments in the district of ",District!$A$1)</f>
        <v>Number of Persons usually working in rural and urban Establishments in the district of South 24-Parganas</v>
      </c>
      <c r="B14" s="2134"/>
      <c r="C14" s="2134"/>
      <c r="D14" s="2134"/>
      <c r="E14" s="2134"/>
      <c r="F14" s="2134"/>
      <c r="G14" s="2134"/>
      <c r="H14" s="2134"/>
      <c r="I14" s="2134"/>
      <c r="J14" s="2134"/>
      <c r="K14" s="2134"/>
      <c r="L14" s="2134"/>
      <c r="M14" s="2134"/>
    </row>
    <row r="15" spans="1:13" ht="13.5" customHeight="1">
      <c r="A15" s="232"/>
      <c r="B15" s="232"/>
      <c r="C15" s="232"/>
      <c r="D15" s="232"/>
      <c r="E15" s="232"/>
      <c r="F15" s="232"/>
      <c r="G15" s="232"/>
      <c r="H15" s="232"/>
      <c r="I15" s="232"/>
      <c r="J15" s="232"/>
      <c r="K15" s="232"/>
      <c r="L15" s="232"/>
      <c r="M15" s="862"/>
    </row>
    <row r="16" spans="1:13" ht="15" customHeight="1">
      <c r="A16" s="1737" t="s">
        <v>1760</v>
      </c>
      <c r="B16" s="1732" t="s">
        <v>1752</v>
      </c>
      <c r="C16" s="1713"/>
      <c r="D16" s="1713"/>
      <c r="E16" s="1714"/>
      <c r="F16" s="1732" t="s">
        <v>1834</v>
      </c>
      <c r="G16" s="1713"/>
      <c r="H16" s="1713"/>
      <c r="I16" s="1714"/>
      <c r="J16" s="1732" t="s">
        <v>1156</v>
      </c>
      <c r="K16" s="1713"/>
      <c r="L16" s="1713"/>
      <c r="M16" s="1714"/>
    </row>
    <row r="17" spans="1:13" ht="13.5" customHeight="1">
      <c r="A17" s="1743"/>
      <c r="B17" s="1713">
        <v>2005</v>
      </c>
      <c r="C17" s="1714"/>
      <c r="D17" s="1713">
        <v>2013</v>
      </c>
      <c r="E17" s="1714"/>
      <c r="F17" s="1713">
        <v>2005</v>
      </c>
      <c r="G17" s="1714"/>
      <c r="H17" s="1713">
        <v>2013</v>
      </c>
      <c r="I17" s="1714"/>
      <c r="J17" s="1713">
        <v>2005</v>
      </c>
      <c r="K17" s="1714"/>
      <c r="L17" s="1713">
        <v>2013</v>
      </c>
      <c r="M17" s="1714"/>
    </row>
    <row r="18" spans="1:13" ht="27" customHeight="1">
      <c r="A18" s="1743"/>
      <c r="B18" s="1020" t="s">
        <v>1762</v>
      </c>
      <c r="C18" s="1021" t="s">
        <v>1763</v>
      </c>
      <c r="D18" s="1020" t="s">
        <v>1762</v>
      </c>
      <c r="E18" s="1021" t="s">
        <v>1763</v>
      </c>
      <c r="F18" s="1022" t="s">
        <v>1762</v>
      </c>
      <c r="G18" s="1021" t="s">
        <v>1763</v>
      </c>
      <c r="H18" s="1023" t="s">
        <v>1762</v>
      </c>
      <c r="I18" s="1021" t="s">
        <v>1763</v>
      </c>
      <c r="J18" s="1022" t="s">
        <v>1762</v>
      </c>
      <c r="K18" s="1021" t="s">
        <v>1763</v>
      </c>
      <c r="L18" s="1020" t="s">
        <v>1762</v>
      </c>
      <c r="M18" s="1021" t="s">
        <v>1763</v>
      </c>
    </row>
    <row r="19" spans="1:13" ht="13.5" customHeight="1">
      <c r="A19" s="866" t="s">
        <v>928</v>
      </c>
      <c r="B19" s="867" t="s">
        <v>929</v>
      </c>
      <c r="C19" s="866" t="s">
        <v>930</v>
      </c>
      <c r="D19" s="867" t="s">
        <v>931</v>
      </c>
      <c r="E19" s="866" t="s">
        <v>932</v>
      </c>
      <c r="F19" s="868" t="s">
        <v>933</v>
      </c>
      <c r="G19" s="866" t="s">
        <v>934</v>
      </c>
      <c r="H19" s="867" t="s">
        <v>959</v>
      </c>
      <c r="I19" s="866" t="s">
        <v>960</v>
      </c>
      <c r="J19" s="869" t="s">
        <v>961</v>
      </c>
      <c r="K19" s="870" t="s">
        <v>962</v>
      </c>
      <c r="L19" s="871" t="s">
        <v>1037</v>
      </c>
      <c r="M19" s="870" t="s">
        <v>1038</v>
      </c>
    </row>
    <row r="20" spans="1:13" ht="17.25" customHeight="1">
      <c r="A20" s="975" t="s">
        <v>1006</v>
      </c>
      <c r="B20" s="976">
        <v>16824</v>
      </c>
      <c r="C20" s="634">
        <v>238757</v>
      </c>
      <c r="D20" s="976">
        <v>16037</v>
      </c>
      <c r="E20" s="634">
        <v>203007</v>
      </c>
      <c r="F20" s="976">
        <v>32790</v>
      </c>
      <c r="G20" s="634">
        <v>305588</v>
      </c>
      <c r="H20" s="976">
        <v>33299</v>
      </c>
      <c r="I20" s="634">
        <v>347445</v>
      </c>
      <c r="J20" s="661">
        <f t="shared" ref="J20:M21" si="2">B20+F20</f>
        <v>49614</v>
      </c>
      <c r="K20" s="296">
        <f t="shared" si="2"/>
        <v>544345</v>
      </c>
      <c r="L20" s="308">
        <f t="shared" si="2"/>
        <v>49336</v>
      </c>
      <c r="M20" s="296">
        <f t="shared" si="2"/>
        <v>550452</v>
      </c>
    </row>
    <row r="21" spans="1:13" ht="17.25" customHeight="1">
      <c r="A21" s="872" t="s">
        <v>1005</v>
      </c>
      <c r="B21" s="1636">
        <v>968</v>
      </c>
      <c r="C21" s="1636">
        <v>140059</v>
      </c>
      <c r="D21" s="89">
        <v>2123</v>
      </c>
      <c r="E21" s="89">
        <v>227342</v>
      </c>
      <c r="F21" s="1636">
        <v>754</v>
      </c>
      <c r="G21" s="1636">
        <v>65178</v>
      </c>
      <c r="H21" s="89">
        <v>2304</v>
      </c>
      <c r="I21" s="89">
        <v>131221</v>
      </c>
      <c r="J21" s="82">
        <f t="shared" si="2"/>
        <v>1722</v>
      </c>
      <c r="K21" s="82">
        <f t="shared" si="2"/>
        <v>205237</v>
      </c>
      <c r="L21" s="82">
        <f t="shared" si="2"/>
        <v>4427</v>
      </c>
      <c r="M21" s="82">
        <f t="shared" si="2"/>
        <v>358563</v>
      </c>
    </row>
    <row r="22" spans="1:13" ht="17.25" customHeight="1">
      <c r="A22" s="812" t="s">
        <v>958</v>
      </c>
      <c r="B22" s="25">
        <f t="shared" ref="B22:M22" si="3">B21+B20</f>
        <v>17792</v>
      </c>
      <c r="C22" s="78">
        <f t="shared" si="3"/>
        <v>378816</v>
      </c>
      <c r="D22" s="25">
        <f t="shared" si="3"/>
        <v>18160</v>
      </c>
      <c r="E22" s="78">
        <f t="shared" si="3"/>
        <v>430349</v>
      </c>
      <c r="F22" s="25">
        <f t="shared" si="3"/>
        <v>33544</v>
      </c>
      <c r="G22" s="78">
        <f t="shared" si="3"/>
        <v>370766</v>
      </c>
      <c r="H22" s="25">
        <f t="shared" si="3"/>
        <v>35603</v>
      </c>
      <c r="I22" s="78">
        <f t="shared" si="3"/>
        <v>478666</v>
      </c>
      <c r="J22" s="74">
        <f t="shared" si="3"/>
        <v>51336</v>
      </c>
      <c r="K22" s="78">
        <f t="shared" si="3"/>
        <v>749582</v>
      </c>
      <c r="L22" s="25">
        <f t="shared" si="3"/>
        <v>53763</v>
      </c>
      <c r="M22" s="78">
        <f t="shared" si="3"/>
        <v>909015</v>
      </c>
    </row>
    <row r="23" spans="1:13" ht="13.5" customHeight="1">
      <c r="A23" s="232"/>
      <c r="B23" s="232"/>
      <c r="C23" s="232"/>
      <c r="D23" s="232"/>
      <c r="E23" s="232"/>
      <c r="F23" s="232"/>
      <c r="G23" s="232"/>
      <c r="H23" s="232"/>
      <c r="I23" s="232"/>
      <c r="J23" s="232"/>
      <c r="K23" s="232"/>
      <c r="L23" s="232"/>
      <c r="M23" s="1156" t="s">
        <v>1898</v>
      </c>
    </row>
    <row r="24" spans="1:13" ht="13.5" customHeight="1">
      <c r="M24" s="873"/>
    </row>
    <row r="25" spans="1:13" ht="12.75" customHeight="1">
      <c r="A25" s="1708" t="s">
        <v>1754</v>
      </c>
      <c r="B25" s="2133"/>
      <c r="C25" s="2133"/>
      <c r="D25" s="2133"/>
      <c r="E25" s="2133"/>
      <c r="F25" s="2133"/>
      <c r="G25" s="2133"/>
      <c r="H25" s="2133"/>
      <c r="I25" s="2133"/>
      <c r="J25" s="2133"/>
      <c r="K25" s="2133"/>
      <c r="L25" s="2133"/>
      <c r="M25" s="2133"/>
    </row>
    <row r="26" spans="1:13" ht="33.75" customHeight="1">
      <c r="A26" s="2131" t="str">
        <f>CONCATENATE("Percentage of Hired Workers and Female employed in Non-agricultural Establishments 
in the district of ",District!$A$1)</f>
        <v>Percentage of Hired Workers and Female employed in Non-agricultural Establishments 
in the district of South 24-Parganas</v>
      </c>
      <c r="B26" s="2132"/>
      <c r="C26" s="2132"/>
      <c r="D26" s="2132"/>
      <c r="E26" s="2132"/>
      <c r="F26" s="2132"/>
      <c r="G26" s="2132"/>
      <c r="H26" s="2132"/>
      <c r="I26" s="2132"/>
      <c r="J26" s="2132"/>
      <c r="K26" s="2132"/>
      <c r="L26" s="2132"/>
      <c r="M26" s="2132"/>
    </row>
    <row r="27" spans="1:13" ht="15" customHeight="1">
      <c r="A27" s="1723" t="s">
        <v>1760</v>
      </c>
      <c r="B27" s="2121"/>
      <c r="C27" s="1732" t="s">
        <v>1766</v>
      </c>
      <c r="D27" s="2129"/>
      <c r="E27" s="2129"/>
      <c r="F27" s="2129"/>
      <c r="G27" s="2129"/>
      <c r="H27" s="2130"/>
      <c r="I27" s="1732" t="s">
        <v>1767</v>
      </c>
      <c r="J27" s="2111"/>
      <c r="K27" s="2111"/>
      <c r="L27" s="2111"/>
      <c r="M27" s="2112"/>
    </row>
    <row r="28" spans="1:13" ht="13.5" customHeight="1">
      <c r="A28" s="2127"/>
      <c r="B28" s="2128"/>
      <c r="C28" s="1740">
        <v>2005</v>
      </c>
      <c r="D28" s="2124"/>
      <c r="E28" s="2124"/>
      <c r="F28" s="1732">
        <v>2013</v>
      </c>
      <c r="G28" s="2111"/>
      <c r="H28" s="2112"/>
      <c r="I28" s="1740">
        <v>2005</v>
      </c>
      <c r="J28" s="1939"/>
      <c r="K28" s="1732">
        <v>2013</v>
      </c>
      <c r="L28" s="1713"/>
      <c r="M28" s="1714"/>
    </row>
    <row r="29" spans="1:13" ht="13.5" customHeight="1">
      <c r="A29" s="2113" t="s">
        <v>928</v>
      </c>
      <c r="B29" s="2126"/>
      <c r="C29" s="2113" t="s">
        <v>929</v>
      </c>
      <c r="D29" s="2125"/>
      <c r="E29" s="2126"/>
      <c r="F29" s="2113" t="s">
        <v>930</v>
      </c>
      <c r="G29" s="2114"/>
      <c r="H29" s="2115"/>
      <c r="I29" s="2113" t="s">
        <v>931</v>
      </c>
      <c r="J29" s="2115"/>
      <c r="K29" s="2113" t="s">
        <v>932</v>
      </c>
      <c r="L29" s="2114"/>
      <c r="M29" s="2115"/>
    </row>
    <row r="30" spans="1:13" ht="17.25" customHeight="1">
      <c r="A30" s="2120" t="s">
        <v>1006</v>
      </c>
      <c r="B30" s="2121"/>
      <c r="C30" s="2023">
        <v>35.270000000000003</v>
      </c>
      <c r="D30" s="1962"/>
      <c r="E30" s="1963"/>
      <c r="F30" s="2023">
        <v>27.37</v>
      </c>
      <c r="G30" s="1962"/>
      <c r="H30" s="1963"/>
      <c r="I30" s="2023">
        <v>16.27</v>
      </c>
      <c r="J30" s="1963"/>
      <c r="K30" s="2117">
        <v>20.13</v>
      </c>
      <c r="L30" s="1962"/>
      <c r="M30" s="1963"/>
    </row>
    <row r="31" spans="1:13" ht="17.25" customHeight="1">
      <c r="A31" s="2118" t="s">
        <v>1005</v>
      </c>
      <c r="B31" s="2119"/>
      <c r="C31" s="2110">
        <v>56</v>
      </c>
      <c r="D31" s="1792"/>
      <c r="E31" s="2039"/>
      <c r="F31" s="2110">
        <v>50.22</v>
      </c>
      <c r="G31" s="1792"/>
      <c r="H31" s="2039"/>
      <c r="I31" s="2110">
        <v>8.27</v>
      </c>
      <c r="J31" s="2039"/>
      <c r="K31" s="2116">
        <v>12.87</v>
      </c>
      <c r="L31" s="1792"/>
      <c r="M31" s="2039"/>
    </row>
    <row r="32" spans="1:13" ht="17.25" customHeight="1">
      <c r="A32" s="2122" t="s">
        <v>958</v>
      </c>
      <c r="B32" s="2123"/>
      <c r="C32" s="2022">
        <v>40.950000000000003</v>
      </c>
      <c r="D32" s="1807"/>
      <c r="E32" s="1964"/>
      <c r="F32" s="2022">
        <v>36.380000000000003</v>
      </c>
      <c r="G32" s="1807"/>
      <c r="H32" s="1964"/>
      <c r="I32" s="2022">
        <v>14.08</v>
      </c>
      <c r="J32" s="1964"/>
      <c r="K32" s="2017">
        <v>17.260000000000002</v>
      </c>
      <c r="L32" s="1807"/>
      <c r="M32" s="1964"/>
    </row>
    <row r="33" spans="3:13" ht="15.75" customHeight="1">
      <c r="C33" s="232"/>
      <c r="D33" s="232"/>
      <c r="E33" s="232"/>
      <c r="F33" s="232"/>
      <c r="G33" s="232"/>
      <c r="H33" s="232"/>
      <c r="I33" s="232"/>
      <c r="J33" s="232"/>
      <c r="K33" s="232"/>
      <c r="M33" s="1156" t="s">
        <v>1898</v>
      </c>
    </row>
  </sheetData>
  <mergeCells count="53">
    <mergeCell ref="A2:M2"/>
    <mergeCell ref="A14:M14"/>
    <mergeCell ref="A1:M1"/>
    <mergeCell ref="A13:M13"/>
    <mergeCell ref="B4:E4"/>
    <mergeCell ref="B5:C5"/>
    <mergeCell ref="D5:E5"/>
    <mergeCell ref="F5:G5"/>
    <mergeCell ref="H5:I5"/>
    <mergeCell ref="F4:I4"/>
    <mergeCell ref="A26:M26"/>
    <mergeCell ref="A4:A6"/>
    <mergeCell ref="J4:M4"/>
    <mergeCell ref="J5:K5"/>
    <mergeCell ref="L5:M5"/>
    <mergeCell ref="L17:M17"/>
    <mergeCell ref="A16:A18"/>
    <mergeCell ref="B16:E16"/>
    <mergeCell ref="F16:I16"/>
    <mergeCell ref="J16:M16"/>
    <mergeCell ref="B17:C17"/>
    <mergeCell ref="D17:E17"/>
    <mergeCell ref="F17:G17"/>
    <mergeCell ref="H17:I17"/>
    <mergeCell ref="J17:K17"/>
    <mergeCell ref="A25:M25"/>
    <mergeCell ref="C28:E28"/>
    <mergeCell ref="C29:E29"/>
    <mergeCell ref="A27:B28"/>
    <mergeCell ref="A29:B29"/>
    <mergeCell ref="C27:H27"/>
    <mergeCell ref="F28:H28"/>
    <mergeCell ref="F29:H29"/>
    <mergeCell ref="A31:B31"/>
    <mergeCell ref="A30:B30"/>
    <mergeCell ref="C30:E30"/>
    <mergeCell ref="C32:E32"/>
    <mergeCell ref="C31:E31"/>
    <mergeCell ref="A32:B32"/>
    <mergeCell ref="F31:H31"/>
    <mergeCell ref="F30:H30"/>
    <mergeCell ref="F32:H32"/>
    <mergeCell ref="I27:M27"/>
    <mergeCell ref="K28:M28"/>
    <mergeCell ref="K29:M29"/>
    <mergeCell ref="K31:M31"/>
    <mergeCell ref="I31:J31"/>
    <mergeCell ref="I32:J32"/>
    <mergeCell ref="K30:M30"/>
    <mergeCell ref="K32:M32"/>
    <mergeCell ref="I30:J30"/>
    <mergeCell ref="I28:J28"/>
    <mergeCell ref="I29:J29"/>
  </mergeCells>
  <phoneticPr fontId="0" type="noConversion"/>
  <printOptions horizontalCentered="1"/>
  <pageMargins left="0.1" right="0.1" top="0.45" bottom="0.1" header="0.48" footer="0.13"/>
  <pageSetup paperSize="9" orientation="landscape" blackAndWhite="1" r:id="rId1"/>
  <headerFooter alignWithMargins="0"/>
</worksheet>
</file>

<file path=xl/worksheets/sheet62.xml><?xml version="1.0" encoding="utf-8"?>
<worksheet xmlns="http://schemas.openxmlformats.org/spreadsheetml/2006/main" xmlns:r="http://schemas.openxmlformats.org/officeDocument/2006/relationships">
  <dimension ref="A1:J34"/>
  <sheetViews>
    <sheetView topLeftCell="A16" workbookViewId="0">
      <selection activeCell="J11" sqref="J11"/>
    </sheetView>
  </sheetViews>
  <sheetFormatPr defaultRowHeight="12.75"/>
  <cols>
    <col min="1" max="1" width="3" customWidth="1"/>
    <col min="2" max="2" width="21.140625" customWidth="1"/>
    <col min="3" max="3" width="11.85546875" customWidth="1"/>
    <col min="4" max="4" width="11.7109375" customWidth="1"/>
    <col min="5" max="5" width="12" customWidth="1"/>
    <col min="6" max="6" width="12.140625" customWidth="1"/>
    <col min="7" max="7" width="11.85546875" customWidth="1"/>
  </cols>
  <sheetData>
    <row r="1" spans="1:10" ht="20.25" customHeight="1">
      <c r="A1" s="1739" t="s">
        <v>781</v>
      </c>
      <c r="B1" s="1739"/>
      <c r="C1" s="1739"/>
      <c r="D1" s="1739"/>
      <c r="E1" s="1739"/>
      <c r="F1" s="1739"/>
      <c r="G1" s="1739"/>
    </row>
    <row r="2" spans="1:10" ht="40.5" customHeight="1">
      <c r="A2" s="1766" t="str">
        <f>CONCATENATE("Applicants on the Live-register of Employment Exchanges 
in the district of ",District!A1," by main occupational group")</f>
        <v>Applicants on the Live-register of Employment Exchanges 
in the district of South 24-Parganas by main occupational group</v>
      </c>
      <c r="B2" s="1766"/>
      <c r="C2" s="1766"/>
      <c r="D2" s="1766"/>
      <c r="E2" s="1766"/>
      <c r="F2" s="1766"/>
      <c r="G2" s="1766"/>
      <c r="H2" s="41"/>
      <c r="I2" s="41"/>
      <c r="J2" s="29"/>
    </row>
    <row r="3" spans="1:10" ht="16.5" customHeight="1">
      <c r="C3" s="21"/>
      <c r="D3" s="21"/>
      <c r="E3" s="21"/>
      <c r="F3" s="21"/>
      <c r="G3" s="113" t="s">
        <v>977</v>
      </c>
      <c r="H3" s="29"/>
      <c r="I3" s="29"/>
      <c r="J3" s="29"/>
    </row>
    <row r="4" spans="1:10" ht="18" customHeight="1">
      <c r="A4" s="1732" t="s">
        <v>1768</v>
      </c>
      <c r="B4" s="1714"/>
      <c r="C4" s="886">
        <v>2010</v>
      </c>
      <c r="D4" s="700">
        <v>2011</v>
      </c>
      <c r="E4" s="700">
        <v>2012</v>
      </c>
      <c r="F4" s="700">
        <v>2013</v>
      </c>
      <c r="G4" s="700">
        <v>2014</v>
      </c>
      <c r="H4" s="39"/>
      <c r="I4" s="39"/>
      <c r="J4" s="7"/>
    </row>
    <row r="5" spans="1:10" ht="18" customHeight="1">
      <c r="A5" s="1716" t="s">
        <v>928</v>
      </c>
      <c r="B5" s="1797"/>
      <c r="C5" s="119" t="s">
        <v>929</v>
      </c>
      <c r="D5" s="199" t="s">
        <v>930</v>
      </c>
      <c r="E5" s="214" t="s">
        <v>931</v>
      </c>
      <c r="F5" s="199" t="s">
        <v>932</v>
      </c>
      <c r="G5" s="120" t="s">
        <v>933</v>
      </c>
      <c r="H5" s="31"/>
      <c r="I5" s="31"/>
      <c r="J5" s="31"/>
    </row>
    <row r="6" spans="1:10" ht="27" customHeight="1">
      <c r="A6" s="2145" t="s">
        <v>1769</v>
      </c>
      <c r="B6" s="2146"/>
      <c r="C6" s="77">
        <v>5108</v>
      </c>
      <c r="D6" s="82">
        <v>5351</v>
      </c>
      <c r="E6" s="82">
        <v>6825</v>
      </c>
      <c r="F6" s="82">
        <v>15974</v>
      </c>
      <c r="G6" s="82">
        <v>18567</v>
      </c>
      <c r="H6" s="7"/>
    </row>
    <row r="7" spans="1:10" ht="27" customHeight="1">
      <c r="A7" s="2147" t="s">
        <v>1835</v>
      </c>
      <c r="B7" s="2148"/>
      <c r="C7" s="77">
        <v>3910</v>
      </c>
      <c r="D7" s="82">
        <v>4177</v>
      </c>
      <c r="E7" s="82">
        <v>5785</v>
      </c>
      <c r="F7" s="82">
        <v>54728</v>
      </c>
      <c r="G7" s="82">
        <v>56416</v>
      </c>
      <c r="H7" s="7"/>
      <c r="I7" s="7"/>
    </row>
    <row r="8" spans="1:10" ht="27" customHeight="1">
      <c r="A8" s="2147" t="s">
        <v>1771</v>
      </c>
      <c r="B8" s="2148"/>
      <c r="C8" s="77">
        <v>520</v>
      </c>
      <c r="D8" s="82">
        <v>635</v>
      </c>
      <c r="E8" s="82">
        <v>5624</v>
      </c>
      <c r="F8" s="82">
        <v>154431</v>
      </c>
      <c r="G8" s="82">
        <v>158023</v>
      </c>
      <c r="H8" s="7"/>
      <c r="I8" s="7"/>
    </row>
    <row r="9" spans="1:10" ht="27" customHeight="1">
      <c r="A9" s="2149" t="s">
        <v>1772</v>
      </c>
      <c r="B9" s="2150"/>
      <c r="C9" s="77">
        <v>249050</v>
      </c>
      <c r="D9" s="82">
        <v>266789</v>
      </c>
      <c r="E9" s="82">
        <v>271295</v>
      </c>
      <c r="F9" s="82">
        <v>127667</v>
      </c>
      <c r="G9" s="82">
        <v>129701</v>
      </c>
      <c r="H9" s="7"/>
      <c r="I9" s="7"/>
    </row>
    <row r="10" spans="1:10" ht="27" customHeight="1">
      <c r="A10" s="2147" t="s">
        <v>1721</v>
      </c>
      <c r="B10" s="2148"/>
      <c r="C10" s="77">
        <v>430</v>
      </c>
      <c r="D10" s="82">
        <v>515</v>
      </c>
      <c r="E10" s="82">
        <v>3225</v>
      </c>
      <c r="F10" s="82">
        <v>17558</v>
      </c>
      <c r="G10" s="82">
        <v>17541</v>
      </c>
      <c r="H10" s="7"/>
      <c r="I10" s="7"/>
    </row>
    <row r="11" spans="1:10" ht="27" customHeight="1">
      <c r="A11" s="2147" t="s">
        <v>1773</v>
      </c>
      <c r="B11" s="2148"/>
      <c r="C11" s="77">
        <v>199053</v>
      </c>
      <c r="D11" s="82">
        <v>209232</v>
      </c>
      <c r="E11" s="82">
        <v>212335</v>
      </c>
      <c r="F11" s="82">
        <v>154644</v>
      </c>
      <c r="G11" s="82">
        <v>166003</v>
      </c>
      <c r="H11" s="7"/>
      <c r="I11" s="7"/>
    </row>
    <row r="12" spans="1:10" ht="27" customHeight="1">
      <c r="A12" s="2139" t="s">
        <v>1111</v>
      </c>
      <c r="B12" s="2140"/>
      <c r="C12" s="702" t="s">
        <v>1229</v>
      </c>
      <c r="D12" s="1120" t="s">
        <v>1229</v>
      </c>
      <c r="E12" s="1120">
        <v>2372</v>
      </c>
      <c r="F12" s="1120">
        <v>27345</v>
      </c>
      <c r="G12" s="1120">
        <v>29248</v>
      </c>
      <c r="H12" s="7"/>
      <c r="I12" s="7"/>
    </row>
    <row r="13" spans="1:10" ht="20.100000000000001" customHeight="1">
      <c r="A13" s="1860" t="s">
        <v>1774</v>
      </c>
      <c r="B13" s="1862"/>
      <c r="C13" s="266">
        <f>SUM(C6:C12)</f>
        <v>458071</v>
      </c>
      <c r="D13" s="297">
        <f>SUM(D6:D12)</f>
        <v>486699</v>
      </c>
      <c r="E13" s="267">
        <f>SUM(E6:E12)</f>
        <v>507461</v>
      </c>
      <c r="F13" s="267">
        <f>SUM(F6:F12)</f>
        <v>552347</v>
      </c>
      <c r="G13" s="267">
        <f>SUM(G6:G12)</f>
        <v>575499</v>
      </c>
      <c r="H13" s="7"/>
      <c r="I13" s="7"/>
    </row>
    <row r="14" spans="1:10" ht="18" customHeight="1">
      <c r="A14" s="16"/>
      <c r="B14" s="19"/>
      <c r="C14" s="7"/>
      <c r="D14" s="99"/>
      <c r="E14" s="99"/>
      <c r="F14" s="98"/>
      <c r="G14" s="1134" t="s">
        <v>590</v>
      </c>
      <c r="H14" s="7"/>
      <c r="I14" s="7"/>
    </row>
    <row r="15" spans="1:10" ht="18" customHeight="1">
      <c r="A15" s="16"/>
      <c r="B15" s="19"/>
      <c r="C15" s="7"/>
      <c r="D15" s="99"/>
      <c r="E15" s="99"/>
      <c r="F15" s="98"/>
      <c r="G15" s="92"/>
      <c r="H15" s="7"/>
      <c r="I15" s="7"/>
    </row>
    <row r="16" spans="1:10" ht="18" customHeight="1">
      <c r="A16" s="16"/>
      <c r="B16" s="19"/>
      <c r="C16" s="7"/>
      <c r="D16" s="99"/>
      <c r="E16" s="99"/>
      <c r="F16" s="98"/>
      <c r="G16" s="92"/>
      <c r="H16" s="7"/>
      <c r="I16" s="7"/>
    </row>
    <row r="17" spans="1:10" ht="18" customHeight="1">
      <c r="B17" s="19"/>
      <c r="C17" s="7"/>
      <c r="D17" s="99"/>
      <c r="E17" s="114"/>
      <c r="F17" s="98"/>
      <c r="G17" s="99"/>
      <c r="H17" s="7"/>
      <c r="I17" s="7"/>
    </row>
    <row r="18" spans="1:10" ht="18" customHeight="1">
      <c r="A18" s="1739" t="s">
        <v>780</v>
      </c>
      <c r="B18" s="1739"/>
      <c r="C18" s="1739"/>
      <c r="D18" s="1739"/>
      <c r="E18" s="1739"/>
      <c r="F18" s="1739"/>
      <c r="G18" s="1739"/>
      <c r="H18" s="7"/>
      <c r="I18" s="7"/>
    </row>
    <row r="19" spans="1:10" ht="35.25" customHeight="1">
      <c r="A19" s="1736" t="str">
        <f>CONCATENATE("Registration and Placement effected by Employment Exchanges 
in the district of ",District!A1)</f>
        <v>Registration and Placement effected by Employment Exchanges 
in the district of South 24-Parganas</v>
      </c>
      <c r="B19" s="1736"/>
      <c r="C19" s="1736"/>
      <c r="D19" s="1736"/>
      <c r="E19" s="1736"/>
      <c r="F19" s="1736"/>
      <c r="G19" s="1736"/>
      <c r="H19" s="7"/>
      <c r="I19" s="7"/>
    </row>
    <row r="20" spans="1:10" ht="14.25" customHeight="1">
      <c r="C20" s="21"/>
      <c r="D20" s="21"/>
      <c r="E20" s="21"/>
      <c r="F20" s="21"/>
      <c r="G20" s="110" t="s">
        <v>977</v>
      </c>
      <c r="H20" s="7"/>
      <c r="I20" s="7"/>
    </row>
    <row r="21" spans="1:10" ht="18" customHeight="1">
      <c r="A21" s="2143" t="s">
        <v>1513</v>
      </c>
      <c r="B21" s="2144"/>
      <c r="C21" s="700">
        <v>2010</v>
      </c>
      <c r="D21" s="700">
        <v>2011</v>
      </c>
      <c r="E21" s="700">
        <v>2012</v>
      </c>
      <c r="F21" s="700">
        <v>2013</v>
      </c>
      <c r="G21" s="700">
        <v>2014</v>
      </c>
      <c r="H21" s="7"/>
      <c r="I21" s="7"/>
    </row>
    <row r="22" spans="1:10" ht="18" customHeight="1">
      <c r="A22" s="1716" t="s">
        <v>928</v>
      </c>
      <c r="B22" s="1797"/>
      <c r="C22" s="119" t="s">
        <v>929</v>
      </c>
      <c r="D22" s="199" t="s">
        <v>930</v>
      </c>
      <c r="E22" s="214" t="s">
        <v>931</v>
      </c>
      <c r="F22" s="199" t="s">
        <v>932</v>
      </c>
      <c r="G22" s="199" t="s">
        <v>933</v>
      </c>
      <c r="H22" s="7"/>
      <c r="I22" s="7"/>
      <c r="J22" s="7"/>
    </row>
    <row r="23" spans="1:10" ht="45" customHeight="1">
      <c r="A23" s="2141" t="s">
        <v>245</v>
      </c>
      <c r="B23" s="2142"/>
      <c r="C23" s="77">
        <v>28205</v>
      </c>
      <c r="D23" s="296">
        <v>41220</v>
      </c>
      <c r="E23" s="77">
        <v>21365</v>
      </c>
      <c r="F23" s="77">
        <v>46461</v>
      </c>
      <c r="G23" s="77">
        <v>30517</v>
      </c>
    </row>
    <row r="24" spans="1:10" ht="45" customHeight="1">
      <c r="A24" s="2135" t="s">
        <v>246</v>
      </c>
      <c r="B24" s="2136"/>
      <c r="C24" s="77">
        <v>331</v>
      </c>
      <c r="D24" s="77">
        <v>337</v>
      </c>
      <c r="E24" s="77">
        <v>85</v>
      </c>
      <c r="F24" s="77">
        <v>305</v>
      </c>
      <c r="G24" s="77">
        <v>300</v>
      </c>
    </row>
    <row r="25" spans="1:10" ht="45" customHeight="1">
      <c r="A25" s="2135" t="s">
        <v>247</v>
      </c>
      <c r="B25" s="2136"/>
      <c r="C25" s="77">
        <v>54</v>
      </c>
      <c r="D25" s="77">
        <v>206</v>
      </c>
      <c r="E25" s="77">
        <v>37</v>
      </c>
      <c r="F25" s="77">
        <v>17</v>
      </c>
      <c r="G25" s="77">
        <v>24</v>
      </c>
    </row>
    <row r="26" spans="1:10" ht="45" customHeight="1">
      <c r="A26" s="2137" t="s">
        <v>1327</v>
      </c>
      <c r="B26" s="2138"/>
      <c r="C26" s="74">
        <f>C13</f>
        <v>458071</v>
      </c>
      <c r="D26" s="74">
        <f>D13</f>
        <v>486699</v>
      </c>
      <c r="E26" s="74">
        <f>E13</f>
        <v>507461</v>
      </c>
      <c r="F26" s="74">
        <f>F13</f>
        <v>552347</v>
      </c>
      <c r="G26" s="78">
        <f>G13</f>
        <v>575499</v>
      </c>
    </row>
    <row r="27" spans="1:10">
      <c r="A27" s="16"/>
      <c r="B27" s="111"/>
      <c r="C27" s="99"/>
      <c r="D27" s="99"/>
      <c r="E27" s="99"/>
      <c r="F27" s="98"/>
      <c r="G27" s="1134" t="s">
        <v>590</v>
      </c>
    </row>
    <row r="28" spans="1:10">
      <c r="G28" s="94"/>
    </row>
    <row r="30" spans="1:10">
      <c r="F30" s="172"/>
    </row>
    <row r="34" spans="8:8">
      <c r="H34" s="1"/>
    </row>
  </sheetData>
  <mergeCells count="20">
    <mergeCell ref="A1:G1"/>
    <mergeCell ref="A18:G18"/>
    <mergeCell ref="A5:B5"/>
    <mergeCell ref="A2:G2"/>
    <mergeCell ref="A4:B4"/>
    <mergeCell ref="A6:B6"/>
    <mergeCell ref="A7:B7"/>
    <mergeCell ref="A8:B8"/>
    <mergeCell ref="A9:B9"/>
    <mergeCell ref="A10:B10"/>
    <mergeCell ref="A11:B11"/>
    <mergeCell ref="A25:B25"/>
    <mergeCell ref="A26:B26"/>
    <mergeCell ref="A12:B12"/>
    <mergeCell ref="A13:B13"/>
    <mergeCell ref="A23:B23"/>
    <mergeCell ref="A24:B24"/>
    <mergeCell ref="A19:G19"/>
    <mergeCell ref="A21:B21"/>
    <mergeCell ref="A22:B22"/>
  </mergeCells>
  <phoneticPr fontId="0" type="noConversion"/>
  <printOptions horizontalCentered="1"/>
  <pageMargins left="0.1" right="0.1" top="0.82" bottom="0.1" header="0.57999999999999996" footer="0.1"/>
  <pageSetup paperSize="9" orientation="portrait" blackAndWhite="1" r:id="rId1"/>
  <headerFooter alignWithMargins="0"/>
</worksheet>
</file>

<file path=xl/worksheets/sheet63.xml><?xml version="1.0" encoding="utf-8"?>
<worksheet xmlns="http://schemas.openxmlformats.org/spreadsheetml/2006/main" xmlns:r="http://schemas.openxmlformats.org/officeDocument/2006/relationships">
  <sheetPr codeName="Sheet40"/>
  <dimension ref="A1:H59"/>
  <sheetViews>
    <sheetView topLeftCell="A4" workbookViewId="0">
      <selection activeCell="J11" sqref="J11"/>
    </sheetView>
  </sheetViews>
  <sheetFormatPr defaultRowHeight="12.4" customHeight="1"/>
  <cols>
    <col min="1" max="1" width="22.42578125" bestFit="1" customWidth="1"/>
    <col min="2" max="2" width="9.42578125" customWidth="1"/>
    <col min="3" max="3" width="12.7109375" customWidth="1"/>
    <col min="4" max="4" width="9.42578125" customWidth="1"/>
    <col min="5" max="5" width="13" customWidth="1"/>
    <col min="6" max="6" width="9.5703125" customWidth="1"/>
    <col min="7" max="7" width="13.42578125" customWidth="1"/>
  </cols>
  <sheetData>
    <row r="1" spans="1:7" ht="12.75" customHeight="1">
      <c r="A1" s="1708" t="s">
        <v>789</v>
      </c>
      <c r="B1" s="1708"/>
      <c r="C1" s="1708"/>
      <c r="D1" s="1708"/>
      <c r="E1" s="1708"/>
      <c r="F1" s="1708"/>
      <c r="G1" s="1708"/>
    </row>
    <row r="2" spans="1:7" ht="30.75" customHeight="1">
      <c r="A2" s="2151" t="str">
        <f>CONCATENATE("Assistance to Old-aged Persons, Widows and Handicapped 
in the district of ",District!A1)</f>
        <v>Assistance to Old-aged Persons, Widows and Handicapped 
in the district of South 24-Parganas</v>
      </c>
      <c r="B2" s="2151"/>
      <c r="C2" s="2151"/>
      <c r="D2" s="2151"/>
      <c r="E2" s="2151"/>
      <c r="F2" s="2151"/>
      <c r="G2" s="2151"/>
    </row>
    <row r="3" spans="1:7" ht="13.5" customHeight="1">
      <c r="A3" s="1721" t="s">
        <v>671</v>
      </c>
      <c r="B3" s="1827" t="s">
        <v>1805</v>
      </c>
      <c r="C3" s="1811"/>
      <c r="D3" s="1827" t="s">
        <v>1808</v>
      </c>
      <c r="E3" s="1811"/>
      <c r="F3" s="1827" t="s">
        <v>1809</v>
      </c>
      <c r="G3" s="1811"/>
    </row>
    <row r="4" spans="1:7" ht="39" customHeight="1">
      <c r="A4" s="1722"/>
      <c r="B4" s="1271" t="s">
        <v>1807</v>
      </c>
      <c r="C4" s="1272" t="s">
        <v>900</v>
      </c>
      <c r="D4" s="1271" t="s">
        <v>1807</v>
      </c>
      <c r="E4" s="1272" t="s">
        <v>900</v>
      </c>
      <c r="F4" s="1271" t="s">
        <v>1807</v>
      </c>
      <c r="G4" s="1272" t="s">
        <v>900</v>
      </c>
    </row>
    <row r="5" spans="1:7" ht="13.5" customHeight="1">
      <c r="A5" s="202" t="s">
        <v>928</v>
      </c>
      <c r="B5" s="201" t="s">
        <v>929</v>
      </c>
      <c r="C5" s="202" t="s">
        <v>930</v>
      </c>
      <c r="D5" s="201" t="s">
        <v>931</v>
      </c>
      <c r="E5" s="202" t="s">
        <v>932</v>
      </c>
      <c r="F5" s="439" t="s">
        <v>933</v>
      </c>
      <c r="G5" s="1117" t="s">
        <v>934</v>
      </c>
    </row>
    <row r="6" spans="1:7" ht="13.5" customHeight="1">
      <c r="A6" s="912" t="s">
        <v>1317</v>
      </c>
      <c r="B6" s="1090">
        <v>2193</v>
      </c>
      <c r="C6" s="1116">
        <v>19037</v>
      </c>
      <c r="D6" s="1090">
        <v>1343</v>
      </c>
      <c r="E6" s="1116">
        <v>12809</v>
      </c>
      <c r="F6" s="1090">
        <v>874</v>
      </c>
      <c r="G6" s="1094">
        <v>8122</v>
      </c>
    </row>
    <row r="7" spans="1:7" ht="13.5" customHeight="1">
      <c r="A7" s="912" t="s">
        <v>221</v>
      </c>
      <c r="B7" s="1090">
        <v>3783</v>
      </c>
      <c r="C7" s="1116">
        <v>21603.15</v>
      </c>
      <c r="D7" s="1090">
        <v>2515</v>
      </c>
      <c r="E7" s="1116">
        <v>13769.41</v>
      </c>
      <c r="F7" s="1090">
        <v>1756</v>
      </c>
      <c r="G7" s="1094">
        <v>9709.0400000000009</v>
      </c>
    </row>
    <row r="8" spans="1:7" ht="13.5" customHeight="1">
      <c r="A8" s="912" t="s">
        <v>1301</v>
      </c>
      <c r="B8" s="1090">
        <v>3822</v>
      </c>
      <c r="C8" s="1116">
        <v>32831.25</v>
      </c>
      <c r="D8" s="1090">
        <v>2572</v>
      </c>
      <c r="E8" s="1116">
        <v>22155.9</v>
      </c>
      <c r="F8" s="1090">
        <v>1830</v>
      </c>
      <c r="G8" s="1094">
        <v>15983.19</v>
      </c>
    </row>
    <row r="9" spans="1:7" ht="13.5" customHeight="1">
      <c r="A9" s="912" t="s">
        <v>621</v>
      </c>
      <c r="B9" s="1304">
        <v>3764</v>
      </c>
      <c r="C9" s="376">
        <v>35570</v>
      </c>
      <c r="D9" s="1304">
        <v>2566</v>
      </c>
      <c r="E9" s="376">
        <v>24249</v>
      </c>
      <c r="F9" s="1304">
        <v>1837</v>
      </c>
      <c r="G9" s="1304">
        <v>17360</v>
      </c>
    </row>
    <row r="10" spans="1:7" ht="13.5" customHeight="1">
      <c r="A10" s="460" t="s">
        <v>206</v>
      </c>
      <c r="B10" s="845">
        <f t="shared" ref="B10:G10" si="0">SUM(B12,B21,B32,B37,B48)</f>
        <v>3891</v>
      </c>
      <c r="C10" s="846">
        <f t="shared" si="0"/>
        <v>36769.949999999997</v>
      </c>
      <c r="D10" s="845">
        <f t="shared" si="0"/>
        <v>2607</v>
      </c>
      <c r="E10" s="846">
        <f t="shared" si="0"/>
        <v>24636.100000000002</v>
      </c>
      <c r="F10" s="845">
        <f t="shared" si="0"/>
        <v>1865</v>
      </c>
      <c r="G10" s="845">
        <f t="shared" si="0"/>
        <v>17624.25</v>
      </c>
    </row>
    <row r="11" spans="1:7" ht="26.25" customHeight="1">
      <c r="A11" s="1024" t="s">
        <v>1698</v>
      </c>
      <c r="B11" s="1711" t="str">
        <f>"Year : " &amp; A10</f>
        <v>Year : 2013-14</v>
      </c>
      <c r="C11" s="1712"/>
      <c r="D11" s="1712"/>
      <c r="E11" s="1712"/>
      <c r="F11" s="1712"/>
      <c r="G11" s="1942"/>
    </row>
    <row r="12" spans="1:7" ht="12.75" customHeight="1">
      <c r="A12" s="1091" t="s">
        <v>24</v>
      </c>
      <c r="B12" s="345">
        <f t="shared" ref="B12:G12" si="1">SUM(B13:B20)</f>
        <v>731</v>
      </c>
      <c r="C12" s="1497">
        <f t="shared" si="1"/>
        <v>6907.95</v>
      </c>
      <c r="D12" s="342">
        <f t="shared" si="1"/>
        <v>489</v>
      </c>
      <c r="E12" s="1497">
        <f t="shared" si="1"/>
        <v>4621.0000000000009</v>
      </c>
      <c r="F12" s="345">
        <f t="shared" si="1"/>
        <v>352</v>
      </c>
      <c r="G12" s="1497">
        <f t="shared" si="1"/>
        <v>3326.4</v>
      </c>
    </row>
    <row r="13" spans="1:7" ht="12.75" customHeight="1">
      <c r="A13" s="313" t="s">
        <v>1737</v>
      </c>
      <c r="B13" s="395">
        <v>119</v>
      </c>
      <c r="C13" s="1308">
        <v>2608.1999999999998</v>
      </c>
      <c r="D13" s="395">
        <v>89</v>
      </c>
      <c r="E13" s="1308">
        <v>1719.9</v>
      </c>
      <c r="F13" s="395">
        <v>50</v>
      </c>
      <c r="G13" s="1304">
        <v>1219.05</v>
      </c>
    </row>
    <row r="14" spans="1:7" ht="12.75" customHeight="1">
      <c r="A14" s="313" t="s">
        <v>1214</v>
      </c>
      <c r="B14" s="395">
        <v>126</v>
      </c>
      <c r="C14" s="1304">
        <v>1190.7</v>
      </c>
      <c r="D14" s="370">
        <v>85</v>
      </c>
      <c r="E14" s="1304">
        <v>803.2</v>
      </c>
      <c r="F14" s="395">
        <v>63</v>
      </c>
      <c r="G14" s="1304">
        <v>595.35</v>
      </c>
    </row>
    <row r="15" spans="1:7" ht="12.75" customHeight="1">
      <c r="A15" s="313" t="s">
        <v>1211</v>
      </c>
      <c r="B15" s="395">
        <v>111</v>
      </c>
      <c r="C15" s="1304">
        <v>1048.95</v>
      </c>
      <c r="D15" s="370">
        <v>80</v>
      </c>
      <c r="E15" s="1304">
        <v>756</v>
      </c>
      <c r="F15" s="395">
        <v>55</v>
      </c>
      <c r="G15" s="1304">
        <v>519.75</v>
      </c>
    </row>
    <row r="16" spans="1:7" ht="12.75" customHeight="1">
      <c r="A16" s="313" t="s">
        <v>1212</v>
      </c>
      <c r="B16" s="395">
        <v>62</v>
      </c>
      <c r="C16" s="1304">
        <v>1020.6</v>
      </c>
      <c r="D16" s="370">
        <v>46</v>
      </c>
      <c r="E16" s="1304">
        <v>614.25</v>
      </c>
      <c r="F16" s="395">
        <v>30</v>
      </c>
      <c r="G16" s="1304">
        <v>425.25</v>
      </c>
    </row>
    <row r="17" spans="1:7" ht="12.75" customHeight="1">
      <c r="A17" s="313" t="s">
        <v>1213</v>
      </c>
      <c r="B17" s="395">
        <v>102</v>
      </c>
      <c r="C17" s="1304">
        <v>963.9</v>
      </c>
      <c r="D17" s="370">
        <v>69</v>
      </c>
      <c r="E17" s="1304">
        <v>652.04999999999995</v>
      </c>
      <c r="F17" s="395">
        <v>53</v>
      </c>
      <c r="G17" s="1304">
        <v>500.85</v>
      </c>
    </row>
    <row r="18" spans="1:7" ht="12.75" customHeight="1">
      <c r="A18" s="313" t="s">
        <v>1215</v>
      </c>
      <c r="B18" s="395">
        <v>46</v>
      </c>
      <c r="C18" s="1308" t="s">
        <v>857</v>
      </c>
      <c r="D18" s="395">
        <v>19</v>
      </c>
      <c r="E18" s="1308" t="s">
        <v>857</v>
      </c>
      <c r="F18" s="395">
        <v>15</v>
      </c>
      <c r="G18" s="1304" t="s">
        <v>857</v>
      </c>
    </row>
    <row r="19" spans="1:7" ht="12.75" customHeight="1">
      <c r="A19" s="313" t="s">
        <v>1216</v>
      </c>
      <c r="B19" s="395">
        <v>157</v>
      </c>
      <c r="C19" s="1308" t="s">
        <v>857</v>
      </c>
      <c r="D19" s="395">
        <v>93</v>
      </c>
      <c r="E19" s="1308" t="s">
        <v>857</v>
      </c>
      <c r="F19" s="395">
        <v>79</v>
      </c>
      <c r="G19" s="1304" t="s">
        <v>857</v>
      </c>
    </row>
    <row r="20" spans="1:7" ht="12.75" customHeight="1">
      <c r="A20" s="313" t="s">
        <v>1217</v>
      </c>
      <c r="B20" s="395">
        <v>8</v>
      </c>
      <c r="C20" s="1308">
        <v>75.599999999999994</v>
      </c>
      <c r="D20" s="395">
        <v>8</v>
      </c>
      <c r="E20" s="1308">
        <v>75.599999999999994</v>
      </c>
      <c r="F20" s="395">
        <v>7</v>
      </c>
      <c r="G20" s="1304">
        <v>66.150000000000006</v>
      </c>
    </row>
    <row r="21" spans="1:7" ht="12.75" customHeight="1">
      <c r="A21" s="1092" t="s">
        <v>314</v>
      </c>
      <c r="B21" s="345">
        <f t="shared" ref="B21:G21" si="2">SUM(B22:B31)</f>
        <v>1050</v>
      </c>
      <c r="C21" s="1369">
        <f t="shared" si="2"/>
        <v>9922.5</v>
      </c>
      <c r="D21" s="342">
        <f t="shared" si="2"/>
        <v>741</v>
      </c>
      <c r="E21" s="1369">
        <f>SUM(E22:E31)</f>
        <v>7002.45</v>
      </c>
      <c r="F21" s="345">
        <f t="shared" si="2"/>
        <v>511</v>
      </c>
      <c r="G21" s="1369">
        <f t="shared" si="2"/>
        <v>4828.95</v>
      </c>
    </row>
    <row r="22" spans="1:7" ht="12.75" customHeight="1">
      <c r="A22" s="313" t="s">
        <v>1218</v>
      </c>
      <c r="B22" s="395">
        <v>138</v>
      </c>
      <c r="C22" s="1308">
        <v>2239.65</v>
      </c>
      <c r="D22" s="395">
        <v>84</v>
      </c>
      <c r="E22" s="1308">
        <v>1587.6</v>
      </c>
      <c r="F22" s="395">
        <v>57</v>
      </c>
      <c r="G22" s="1304">
        <v>1190.7</v>
      </c>
    </row>
    <row r="23" spans="1:7" ht="12.75" customHeight="1">
      <c r="A23" s="313" t="s">
        <v>759</v>
      </c>
      <c r="B23" s="395">
        <v>126</v>
      </c>
      <c r="C23" s="1304">
        <v>1294.6500000000001</v>
      </c>
      <c r="D23" s="370">
        <v>125</v>
      </c>
      <c r="E23" s="1304">
        <v>1237.95</v>
      </c>
      <c r="F23" s="395">
        <v>64</v>
      </c>
      <c r="G23" s="1304">
        <v>652.04999999999995</v>
      </c>
    </row>
    <row r="24" spans="1:7" ht="12.75" customHeight="1">
      <c r="A24" s="313" t="s">
        <v>760</v>
      </c>
      <c r="B24" s="395">
        <v>119</v>
      </c>
      <c r="C24" s="1304">
        <v>1124.55</v>
      </c>
      <c r="D24" s="370">
        <v>79</v>
      </c>
      <c r="E24" s="1304">
        <v>746.55</v>
      </c>
      <c r="F24" s="395">
        <v>54</v>
      </c>
      <c r="G24" s="1304">
        <v>510.3</v>
      </c>
    </row>
    <row r="25" spans="1:7" ht="12.75" customHeight="1">
      <c r="A25" s="313" t="s">
        <v>1194</v>
      </c>
      <c r="B25" s="395">
        <v>111</v>
      </c>
      <c r="C25" s="1308">
        <v>1048.95</v>
      </c>
      <c r="D25" s="395">
        <v>72</v>
      </c>
      <c r="E25" s="1308">
        <v>680.4</v>
      </c>
      <c r="F25" s="395">
        <v>56</v>
      </c>
      <c r="G25" s="1304">
        <v>529.20000000000005</v>
      </c>
    </row>
    <row r="26" spans="1:7" ht="12.75" customHeight="1">
      <c r="A26" s="313" t="s">
        <v>1221</v>
      </c>
      <c r="B26" s="395">
        <v>197</v>
      </c>
      <c r="C26" s="1304">
        <v>2060.1</v>
      </c>
      <c r="D26" s="370">
        <v>130</v>
      </c>
      <c r="E26" s="1308">
        <v>1332.45</v>
      </c>
      <c r="F26" s="395">
        <v>94</v>
      </c>
      <c r="G26" s="1304">
        <v>963.9</v>
      </c>
    </row>
    <row r="27" spans="1:7" ht="12.75" customHeight="1">
      <c r="A27" s="313" t="s">
        <v>761</v>
      </c>
      <c r="B27" s="395">
        <v>112</v>
      </c>
      <c r="C27" s="1304">
        <v>1058.4000000000001</v>
      </c>
      <c r="D27" s="370">
        <v>74</v>
      </c>
      <c r="E27" s="1304">
        <v>699.3</v>
      </c>
      <c r="F27" s="395">
        <v>52</v>
      </c>
      <c r="G27" s="1304">
        <v>491.4</v>
      </c>
    </row>
    <row r="28" spans="1:7" ht="12.75" customHeight="1">
      <c r="A28" s="313" t="s">
        <v>762</v>
      </c>
      <c r="B28" s="395">
        <v>116</v>
      </c>
      <c r="C28" s="1304">
        <v>1096.2</v>
      </c>
      <c r="D28" s="370">
        <v>76</v>
      </c>
      <c r="E28" s="1304">
        <v>718.2</v>
      </c>
      <c r="F28" s="395">
        <v>52</v>
      </c>
      <c r="G28" s="1304">
        <v>491.4</v>
      </c>
    </row>
    <row r="29" spans="1:7" ht="12.75" customHeight="1">
      <c r="A29" s="313" t="s">
        <v>836</v>
      </c>
      <c r="B29" s="395">
        <v>11</v>
      </c>
      <c r="C29" s="1308" t="s">
        <v>857</v>
      </c>
      <c r="D29" s="395">
        <v>6</v>
      </c>
      <c r="E29" s="1308" t="s">
        <v>857</v>
      </c>
      <c r="F29" s="395">
        <v>5</v>
      </c>
      <c r="G29" s="1304" t="s">
        <v>857</v>
      </c>
    </row>
    <row r="30" spans="1:7" ht="12.75" customHeight="1">
      <c r="A30" s="313" t="s">
        <v>1222</v>
      </c>
      <c r="B30" s="395">
        <v>21</v>
      </c>
      <c r="C30" s="1308" t="s">
        <v>857</v>
      </c>
      <c r="D30" s="395">
        <v>11</v>
      </c>
      <c r="E30" s="1308" t="s">
        <v>857</v>
      </c>
      <c r="F30" s="395">
        <v>8</v>
      </c>
      <c r="G30" s="1304" t="s">
        <v>857</v>
      </c>
    </row>
    <row r="31" spans="1:7" ht="12.75" customHeight="1">
      <c r="A31" s="313" t="s">
        <v>1736</v>
      </c>
      <c r="B31" s="395">
        <v>99</v>
      </c>
      <c r="C31" s="1308" t="s">
        <v>857</v>
      </c>
      <c r="D31" s="395">
        <v>84</v>
      </c>
      <c r="E31" s="1308" t="s">
        <v>857</v>
      </c>
      <c r="F31" s="395">
        <v>69</v>
      </c>
      <c r="G31" s="1304" t="s">
        <v>857</v>
      </c>
    </row>
    <row r="32" spans="1:7" ht="12.75" customHeight="1">
      <c r="A32" s="1092" t="s">
        <v>315</v>
      </c>
      <c r="B32" s="345">
        <f t="shared" ref="B32:G32" si="3">SUM(B33:B36)</f>
        <v>556</v>
      </c>
      <c r="C32" s="1369">
        <f t="shared" si="3"/>
        <v>5254.2</v>
      </c>
      <c r="D32" s="342">
        <f t="shared" si="3"/>
        <v>353</v>
      </c>
      <c r="E32" s="1369">
        <f t="shared" si="3"/>
        <v>3335.85</v>
      </c>
      <c r="F32" s="345">
        <f t="shared" si="3"/>
        <v>250</v>
      </c>
      <c r="G32" s="1369">
        <f t="shared" si="3"/>
        <v>2362.5</v>
      </c>
    </row>
    <row r="33" spans="1:7" ht="12.75" customHeight="1">
      <c r="A33" s="313" t="s">
        <v>1223</v>
      </c>
      <c r="B33" s="395">
        <v>140</v>
      </c>
      <c r="C33" s="1304">
        <v>1323</v>
      </c>
      <c r="D33" s="370">
        <v>92</v>
      </c>
      <c r="E33" s="1304">
        <v>869.4</v>
      </c>
      <c r="F33" s="395">
        <v>64</v>
      </c>
      <c r="G33" s="1304">
        <v>604.79999999999995</v>
      </c>
    </row>
    <row r="34" spans="1:7" ht="12.75" customHeight="1">
      <c r="A34" s="313" t="s">
        <v>1224</v>
      </c>
      <c r="B34" s="395">
        <v>109</v>
      </c>
      <c r="C34" s="1304">
        <v>1030.05</v>
      </c>
      <c r="D34" s="370">
        <v>72</v>
      </c>
      <c r="E34" s="1304">
        <v>680.4</v>
      </c>
      <c r="F34" s="395">
        <v>51</v>
      </c>
      <c r="G34" s="1304">
        <v>481.95</v>
      </c>
    </row>
    <row r="35" spans="1:7" ht="12.75" customHeight="1">
      <c r="A35" s="313" t="s">
        <v>1197</v>
      </c>
      <c r="B35" s="395">
        <v>163</v>
      </c>
      <c r="C35" s="1304">
        <v>1540.35</v>
      </c>
      <c r="D35" s="370">
        <v>97</v>
      </c>
      <c r="E35" s="1304">
        <v>916.65</v>
      </c>
      <c r="F35" s="395">
        <v>73</v>
      </c>
      <c r="G35" s="1304">
        <v>689.85</v>
      </c>
    </row>
    <row r="36" spans="1:7" ht="12.75" customHeight="1">
      <c r="A36" s="313" t="s">
        <v>1198</v>
      </c>
      <c r="B36" s="395">
        <v>144</v>
      </c>
      <c r="C36" s="1304">
        <v>1360.8</v>
      </c>
      <c r="D36" s="370">
        <v>92</v>
      </c>
      <c r="E36" s="1304">
        <v>869.4</v>
      </c>
      <c r="F36" s="395">
        <v>62</v>
      </c>
      <c r="G36" s="1304">
        <v>585.9</v>
      </c>
    </row>
    <row r="37" spans="1:7" ht="12.75" customHeight="1">
      <c r="A37" s="1093" t="s">
        <v>25</v>
      </c>
      <c r="B37" s="345">
        <f t="shared" ref="B37:G37" si="4">SUM(B38:B47)</f>
        <v>1061</v>
      </c>
      <c r="C37" s="1369">
        <f t="shared" si="4"/>
        <v>10026.449999999999</v>
      </c>
      <c r="D37" s="345">
        <f t="shared" si="4"/>
        <v>700</v>
      </c>
      <c r="E37" s="1369">
        <f t="shared" si="4"/>
        <v>6615</v>
      </c>
      <c r="F37" s="1369">
        <f t="shared" si="4"/>
        <v>519</v>
      </c>
      <c r="G37" s="1369">
        <f t="shared" si="4"/>
        <v>4904.5499999999993</v>
      </c>
    </row>
    <row r="38" spans="1:7" ht="12.75" customHeight="1">
      <c r="A38" s="313" t="s">
        <v>1225</v>
      </c>
      <c r="B38" s="395">
        <v>128</v>
      </c>
      <c r="C38" s="1304">
        <v>1209.5999999999999</v>
      </c>
      <c r="D38" s="370">
        <v>82</v>
      </c>
      <c r="E38" s="1304">
        <v>774.9</v>
      </c>
      <c r="F38" s="395">
        <v>57</v>
      </c>
      <c r="G38" s="1304">
        <v>538.65</v>
      </c>
    </row>
    <row r="39" spans="1:7" ht="12.75" customHeight="1">
      <c r="A39" s="313" t="s">
        <v>1226</v>
      </c>
      <c r="B39" s="395">
        <v>151</v>
      </c>
      <c r="C39" s="1308">
        <v>1426.95</v>
      </c>
      <c r="D39" s="395">
        <v>93</v>
      </c>
      <c r="E39" s="1308">
        <v>878.85</v>
      </c>
      <c r="F39" s="395">
        <v>79</v>
      </c>
      <c r="G39" s="1304">
        <v>746.55</v>
      </c>
    </row>
    <row r="40" spans="1:7" ht="12.75" customHeight="1">
      <c r="A40" s="313" t="s">
        <v>837</v>
      </c>
      <c r="B40" s="395">
        <v>107</v>
      </c>
      <c r="C40" s="1304">
        <v>1011.15</v>
      </c>
      <c r="D40" s="370">
        <v>73</v>
      </c>
      <c r="E40" s="1304">
        <v>689.85</v>
      </c>
      <c r="F40" s="395">
        <v>55</v>
      </c>
      <c r="G40" s="1304">
        <v>519.75</v>
      </c>
    </row>
    <row r="41" spans="1:7" ht="12.75" customHeight="1">
      <c r="A41" s="313" t="s">
        <v>1203</v>
      </c>
      <c r="B41" s="395">
        <v>140</v>
      </c>
      <c r="C41" s="1304">
        <v>1323</v>
      </c>
      <c r="D41" s="370">
        <v>89</v>
      </c>
      <c r="E41" s="1304">
        <v>841.05</v>
      </c>
      <c r="F41" s="395">
        <v>67</v>
      </c>
      <c r="G41" s="1304">
        <v>633.15</v>
      </c>
    </row>
    <row r="42" spans="1:7" ht="12.75" customHeight="1">
      <c r="A42" s="313" t="s">
        <v>1204</v>
      </c>
      <c r="B42" s="395">
        <v>127</v>
      </c>
      <c r="C42" s="1308">
        <v>1200.1500000000001</v>
      </c>
      <c r="D42" s="395">
        <v>83</v>
      </c>
      <c r="E42" s="1308">
        <v>784.35</v>
      </c>
      <c r="F42" s="395">
        <v>58</v>
      </c>
      <c r="G42" s="1304">
        <v>548.1</v>
      </c>
    </row>
    <row r="43" spans="1:7" ht="12.75" customHeight="1">
      <c r="A43" s="313" t="s">
        <v>1744</v>
      </c>
      <c r="B43" s="395">
        <v>82</v>
      </c>
      <c r="C43" s="1304">
        <v>935.55</v>
      </c>
      <c r="D43" s="370">
        <v>61</v>
      </c>
      <c r="E43" s="1304">
        <v>661.5</v>
      </c>
      <c r="F43" s="395">
        <v>55</v>
      </c>
      <c r="G43" s="1304">
        <v>595.35</v>
      </c>
    </row>
    <row r="44" spans="1:7" ht="12.75" customHeight="1">
      <c r="A44" s="313" t="s">
        <v>1745</v>
      </c>
      <c r="B44" s="395">
        <v>97</v>
      </c>
      <c r="C44" s="1304">
        <v>916.65</v>
      </c>
      <c r="D44" s="370">
        <v>71</v>
      </c>
      <c r="E44" s="1304">
        <v>670.95</v>
      </c>
      <c r="F44" s="395">
        <v>43</v>
      </c>
      <c r="G44" s="1304">
        <v>406.35</v>
      </c>
    </row>
    <row r="45" spans="1:7" ht="12.75" customHeight="1">
      <c r="A45" s="313" t="s">
        <v>1227</v>
      </c>
      <c r="B45" s="395">
        <v>98</v>
      </c>
      <c r="C45" s="1304">
        <v>926.1</v>
      </c>
      <c r="D45" s="370">
        <v>65</v>
      </c>
      <c r="E45" s="1304">
        <v>614.25</v>
      </c>
      <c r="F45" s="395">
        <v>45</v>
      </c>
      <c r="G45" s="1304">
        <v>425.25</v>
      </c>
    </row>
    <row r="46" spans="1:7" ht="12.75" customHeight="1">
      <c r="A46" s="313" t="s">
        <v>1228</v>
      </c>
      <c r="B46" s="395">
        <v>114</v>
      </c>
      <c r="C46" s="1304">
        <v>1077.3</v>
      </c>
      <c r="D46" s="370">
        <v>74</v>
      </c>
      <c r="E46" s="1304">
        <v>699.3</v>
      </c>
      <c r="F46" s="395">
        <v>52</v>
      </c>
      <c r="G46" s="1304">
        <v>491.4</v>
      </c>
    </row>
    <row r="47" spans="1:7" ht="12.75" customHeight="1">
      <c r="A47" s="313" t="s">
        <v>863</v>
      </c>
      <c r="B47" s="395">
        <v>17</v>
      </c>
      <c r="C47" s="1308" t="s">
        <v>857</v>
      </c>
      <c r="D47" s="395">
        <v>9</v>
      </c>
      <c r="E47" s="1308" t="s">
        <v>857</v>
      </c>
      <c r="F47" s="395">
        <v>8</v>
      </c>
      <c r="G47" s="1304" t="s">
        <v>857</v>
      </c>
    </row>
    <row r="48" spans="1:7" ht="12.75" customHeight="1">
      <c r="A48" s="1092" t="s">
        <v>317</v>
      </c>
      <c r="B48" s="345">
        <f t="shared" ref="B48:G48" si="5">SUM(B49:B52)</f>
        <v>493</v>
      </c>
      <c r="C48" s="1369">
        <f t="shared" si="5"/>
        <v>4658.8500000000004</v>
      </c>
      <c r="D48" s="342">
        <f t="shared" si="5"/>
        <v>324</v>
      </c>
      <c r="E48" s="1369">
        <f t="shared" si="5"/>
        <v>3061.8</v>
      </c>
      <c r="F48" s="345">
        <f t="shared" si="5"/>
        <v>233</v>
      </c>
      <c r="G48" s="1369">
        <f t="shared" si="5"/>
        <v>2201.85</v>
      </c>
    </row>
    <row r="49" spans="1:8" ht="12.75" customHeight="1">
      <c r="A49" s="313" t="s">
        <v>1205</v>
      </c>
      <c r="B49" s="395">
        <v>135</v>
      </c>
      <c r="C49" s="1308">
        <v>1275.75</v>
      </c>
      <c r="D49" s="395">
        <v>87</v>
      </c>
      <c r="E49" s="1308">
        <v>822.15</v>
      </c>
      <c r="F49" s="395">
        <v>63</v>
      </c>
      <c r="G49" s="1304">
        <v>595.35</v>
      </c>
    </row>
    <row r="50" spans="1:8" ht="12.75" customHeight="1">
      <c r="A50" s="313" t="s">
        <v>1206</v>
      </c>
      <c r="B50" s="395">
        <v>91</v>
      </c>
      <c r="C50" s="1308">
        <v>859.95</v>
      </c>
      <c r="D50" s="395">
        <v>61</v>
      </c>
      <c r="E50" s="1308">
        <v>576.45000000000005</v>
      </c>
      <c r="F50" s="395">
        <v>43</v>
      </c>
      <c r="G50" s="1304">
        <v>406.35</v>
      </c>
    </row>
    <row r="51" spans="1:8" ht="12.75" customHeight="1">
      <c r="A51" s="313" t="s">
        <v>1207</v>
      </c>
      <c r="B51" s="395">
        <v>104</v>
      </c>
      <c r="C51" s="1304">
        <v>982.8</v>
      </c>
      <c r="D51" s="370">
        <v>70</v>
      </c>
      <c r="E51" s="1304">
        <v>661.5</v>
      </c>
      <c r="F51" s="395">
        <v>52</v>
      </c>
      <c r="G51" s="1304">
        <v>491.4</v>
      </c>
    </row>
    <row r="52" spans="1:8" ht="12.75" customHeight="1">
      <c r="A52" s="314" t="s">
        <v>1208</v>
      </c>
      <c r="B52" s="640">
        <v>163</v>
      </c>
      <c r="C52" s="845">
        <v>1540.35</v>
      </c>
      <c r="D52" s="379">
        <v>106</v>
      </c>
      <c r="E52" s="845">
        <v>1001.7</v>
      </c>
      <c r="F52" s="640">
        <v>75</v>
      </c>
      <c r="G52" s="845">
        <v>708.75</v>
      </c>
    </row>
    <row r="53" spans="1:8" ht="12.4" customHeight="1">
      <c r="A53" s="2152" t="s">
        <v>788</v>
      </c>
      <c r="B53" s="2152"/>
      <c r="C53" s="1154"/>
      <c r="D53" s="1151" t="s">
        <v>610</v>
      </c>
      <c r="E53" s="1155" t="s">
        <v>1837</v>
      </c>
      <c r="F53" s="1009"/>
      <c r="G53" s="1009"/>
      <c r="H53" s="1154"/>
    </row>
    <row r="54" spans="1:8" ht="12.4" customHeight="1">
      <c r="A54" s="2153"/>
      <c r="B54" s="2153"/>
      <c r="C54" s="1154"/>
      <c r="D54" s="1137" t="s">
        <v>615</v>
      </c>
      <c r="E54" s="2029" t="s">
        <v>1836</v>
      </c>
      <c r="F54" s="2029"/>
      <c r="G54" s="2029"/>
      <c r="H54" s="1154"/>
    </row>
    <row r="55" spans="1:8" ht="13.5" customHeight="1">
      <c r="A55" s="2153"/>
      <c r="B55" s="2153"/>
      <c r="C55" s="1154"/>
      <c r="D55" s="1138"/>
      <c r="E55" s="2029"/>
      <c r="F55" s="2029"/>
      <c r="G55" s="2029"/>
      <c r="H55" s="1154"/>
    </row>
    <row r="56" spans="1:8" ht="13.5" customHeight="1">
      <c r="A56" s="2153"/>
      <c r="B56" s="2153"/>
      <c r="C56" s="1154"/>
      <c r="D56" s="1069"/>
      <c r="E56" s="2154"/>
      <c r="F56" s="2154"/>
      <c r="G56" s="2154"/>
      <c r="H56" s="1154"/>
    </row>
    <row r="58" spans="1:8" ht="12.4" customHeight="1">
      <c r="E58" s="2"/>
    </row>
    <row r="59" spans="1:8" ht="12.4" customHeight="1">
      <c r="A59" s="1"/>
      <c r="B59" s="1"/>
      <c r="C59" s="1"/>
      <c r="D59" s="1"/>
      <c r="E59" s="1"/>
      <c r="F59" s="1"/>
      <c r="G59" s="1"/>
    </row>
  </sheetData>
  <mergeCells count="9">
    <mergeCell ref="B11:G11"/>
    <mergeCell ref="A1:G1"/>
    <mergeCell ref="A2:G2"/>
    <mergeCell ref="A53:B56"/>
    <mergeCell ref="B3:C3"/>
    <mergeCell ref="D3:E3"/>
    <mergeCell ref="F3:G3"/>
    <mergeCell ref="A3:A4"/>
    <mergeCell ref="E54:G56"/>
  </mergeCells>
  <phoneticPr fontId="0" type="noConversion"/>
  <conditionalFormatting sqref="A1:XFD1048576">
    <cfRule type="cellIs" dxfId="9" priority="1" stopIfTrue="1" operator="equal">
      <formula>".."</formula>
    </cfRule>
  </conditionalFormatting>
  <printOptions horizontalCentered="1"/>
  <pageMargins left="0.1" right="0.1" top="0.52" bottom="0.1" header="0.27" footer="0.1"/>
  <pageSetup paperSize="9" orientation="portrait" blackAndWhite="1" r:id="rId1"/>
  <headerFooter alignWithMargins="0"/>
</worksheet>
</file>

<file path=xl/worksheets/sheet64.xml><?xml version="1.0" encoding="utf-8"?>
<worksheet xmlns="http://schemas.openxmlformats.org/spreadsheetml/2006/main" xmlns:r="http://schemas.openxmlformats.org/officeDocument/2006/relationships">
  <dimension ref="A1:U59"/>
  <sheetViews>
    <sheetView workbookViewId="0">
      <selection activeCell="J11" sqref="J11"/>
    </sheetView>
  </sheetViews>
  <sheetFormatPr defaultRowHeight="12.75"/>
  <cols>
    <col min="1" max="1" width="18.42578125" customWidth="1"/>
    <col min="2" max="2" width="10.42578125" customWidth="1"/>
    <col min="3" max="3" width="8.28515625" customWidth="1"/>
    <col min="4" max="4" width="17" style="1377" customWidth="1"/>
    <col min="5" max="5" width="16.140625" style="1377" customWidth="1"/>
    <col min="6" max="6" width="16.85546875" style="1377" customWidth="1"/>
  </cols>
  <sheetData>
    <row r="1" spans="1:6" ht="12.75" customHeight="1">
      <c r="A1" s="1739" t="s">
        <v>1328</v>
      </c>
      <c r="B1" s="1739"/>
      <c r="C1" s="1739"/>
      <c r="D1" s="1739"/>
      <c r="E1" s="1739"/>
      <c r="F1" s="1739"/>
    </row>
    <row r="2" spans="1:6" ht="49.5" customHeight="1">
      <c r="A2" s="2151" t="str">
        <f>CONCATENATE("Wholesale Prices of Agricultural Commodities, Live-stock and 
Live-stock Products (average quality) in different markets 
in the district of ",District!$A$1)</f>
        <v>Wholesale Prices of Agricultural Commodities, Live-stock and 
Live-stock Products (average quality) in different markets 
in the district of South 24-Parganas</v>
      </c>
      <c r="B2" s="2151"/>
      <c r="C2" s="2151"/>
      <c r="D2" s="2151"/>
      <c r="E2" s="2151"/>
      <c r="F2" s="2151"/>
    </row>
    <row r="3" spans="1:6" ht="12.75" customHeight="1">
      <c r="A3" s="2158" t="s">
        <v>13</v>
      </c>
      <c r="B3" s="2045" t="s">
        <v>14</v>
      </c>
      <c r="C3" s="2045" t="s">
        <v>672</v>
      </c>
      <c r="D3" s="2156" t="s">
        <v>1838</v>
      </c>
      <c r="E3" s="2156"/>
      <c r="F3" s="2157"/>
    </row>
    <row r="4" spans="1:6" ht="12.75" customHeight="1">
      <c r="A4" s="2159"/>
      <c r="B4" s="2046"/>
      <c r="C4" s="2046"/>
      <c r="D4" s="1374">
        <v>2012</v>
      </c>
      <c r="E4" s="1374">
        <v>2013</v>
      </c>
      <c r="F4" s="1374">
        <v>2014</v>
      </c>
    </row>
    <row r="5" spans="1:6" ht="12.75" customHeight="1">
      <c r="A5" s="118" t="s">
        <v>928</v>
      </c>
      <c r="B5" s="199" t="s">
        <v>929</v>
      </c>
      <c r="C5" s="199" t="s">
        <v>930</v>
      </c>
      <c r="D5" s="1375" t="s">
        <v>931</v>
      </c>
      <c r="E5" s="1379" t="s">
        <v>932</v>
      </c>
      <c r="F5" s="1380" t="s">
        <v>933</v>
      </c>
    </row>
    <row r="6" spans="1:6" ht="12.75" customHeight="1">
      <c r="A6" s="445" t="s">
        <v>52</v>
      </c>
      <c r="B6" s="519" t="s">
        <v>1196</v>
      </c>
      <c r="C6" s="520" t="s">
        <v>870</v>
      </c>
      <c r="D6" s="1376">
        <v>1200</v>
      </c>
      <c r="E6" s="1376">
        <v>1000</v>
      </c>
      <c r="F6" s="1376">
        <v>1600</v>
      </c>
    </row>
    <row r="7" spans="1:6" ht="12.75" customHeight="1">
      <c r="A7" s="212"/>
      <c r="B7" s="213" t="s">
        <v>1205</v>
      </c>
      <c r="C7" s="521" t="s">
        <v>850</v>
      </c>
      <c r="D7" s="1376">
        <v>1830</v>
      </c>
      <c r="E7" s="1376">
        <v>1550</v>
      </c>
      <c r="F7" s="1376">
        <v>1810</v>
      </c>
    </row>
    <row r="8" spans="1:6" ht="12.75" customHeight="1">
      <c r="A8" s="212" t="s">
        <v>874</v>
      </c>
      <c r="B8" s="213" t="s">
        <v>1196</v>
      </c>
      <c r="C8" s="521" t="s">
        <v>850</v>
      </c>
      <c r="D8" s="1376">
        <v>860</v>
      </c>
      <c r="E8" s="1376">
        <v>782</v>
      </c>
      <c r="F8" s="1376">
        <v>1340</v>
      </c>
    </row>
    <row r="9" spans="1:6" ht="12.75" customHeight="1">
      <c r="A9" s="212"/>
      <c r="B9" s="213" t="s">
        <v>1205</v>
      </c>
      <c r="C9" s="521" t="s">
        <v>850</v>
      </c>
      <c r="D9" s="1376">
        <v>1125</v>
      </c>
      <c r="E9" s="1376">
        <v>1150</v>
      </c>
      <c r="F9" s="1376">
        <v>1310</v>
      </c>
    </row>
    <row r="10" spans="1:6" ht="12.75" customHeight="1">
      <c r="A10" s="212" t="s">
        <v>579</v>
      </c>
      <c r="B10" s="213" t="s">
        <v>1196</v>
      </c>
      <c r="C10" s="521" t="s">
        <v>850</v>
      </c>
      <c r="D10" s="1376">
        <v>2400</v>
      </c>
      <c r="E10" s="1376">
        <v>2500</v>
      </c>
      <c r="F10" s="1376">
        <v>3000</v>
      </c>
    </row>
    <row r="11" spans="1:6" ht="12.75" customHeight="1">
      <c r="A11" s="212"/>
      <c r="B11" s="213" t="s">
        <v>871</v>
      </c>
      <c r="C11" s="521" t="s">
        <v>850</v>
      </c>
      <c r="D11" s="1376">
        <v>2500</v>
      </c>
      <c r="E11" s="1376">
        <v>2500</v>
      </c>
      <c r="F11" s="1376">
        <v>3100</v>
      </c>
    </row>
    <row r="12" spans="1:6" ht="12.75" customHeight="1">
      <c r="A12" s="212"/>
      <c r="B12" s="213" t="s">
        <v>1205</v>
      </c>
      <c r="C12" s="521" t="s">
        <v>850</v>
      </c>
      <c r="D12" s="1376">
        <v>2800</v>
      </c>
      <c r="E12" s="1376">
        <v>2900</v>
      </c>
      <c r="F12" s="1376">
        <v>3150</v>
      </c>
    </row>
    <row r="13" spans="1:6" ht="12.75" customHeight="1">
      <c r="A13" s="212" t="s">
        <v>875</v>
      </c>
      <c r="B13" s="213" t="s">
        <v>1196</v>
      </c>
      <c r="C13" s="521" t="s">
        <v>850</v>
      </c>
      <c r="D13" s="1376">
        <v>1700</v>
      </c>
      <c r="E13" s="1376">
        <v>1800</v>
      </c>
      <c r="F13" s="1376">
        <v>2200</v>
      </c>
    </row>
    <row r="14" spans="1:6" ht="12.75" customHeight="1">
      <c r="A14" s="212"/>
      <c r="B14" s="213" t="s">
        <v>1205</v>
      </c>
      <c r="C14" s="521" t="s">
        <v>850</v>
      </c>
      <c r="D14" s="1376">
        <v>1900</v>
      </c>
      <c r="E14" s="1376">
        <v>2750</v>
      </c>
      <c r="F14" s="1376">
        <v>2350</v>
      </c>
    </row>
    <row r="15" spans="1:6" ht="12.75" customHeight="1">
      <c r="A15" s="445" t="s">
        <v>872</v>
      </c>
      <c r="B15" s="519" t="s">
        <v>1825</v>
      </c>
      <c r="C15" s="521" t="s">
        <v>850</v>
      </c>
      <c r="D15" s="1376">
        <v>3300</v>
      </c>
      <c r="E15" s="1376">
        <v>2600</v>
      </c>
      <c r="F15" s="1376">
        <v>3000</v>
      </c>
    </row>
    <row r="16" spans="1:6" ht="12.75" customHeight="1">
      <c r="A16" s="445" t="s">
        <v>876</v>
      </c>
      <c r="B16" s="519" t="s">
        <v>1825</v>
      </c>
      <c r="C16" s="521" t="s">
        <v>850</v>
      </c>
      <c r="D16" s="1376">
        <v>2300</v>
      </c>
      <c r="E16" s="1376">
        <v>3200</v>
      </c>
      <c r="F16" s="1376">
        <v>3500</v>
      </c>
    </row>
    <row r="17" spans="1:6" ht="12.75" customHeight="1">
      <c r="A17" s="212" t="s">
        <v>1428</v>
      </c>
      <c r="B17" s="213" t="s">
        <v>1221</v>
      </c>
      <c r="C17" s="521" t="s">
        <v>850</v>
      </c>
      <c r="D17" s="1376">
        <v>960</v>
      </c>
      <c r="E17" s="1376">
        <v>640</v>
      </c>
      <c r="F17" s="1376">
        <v>750</v>
      </c>
    </row>
    <row r="18" spans="1:6" ht="12.75" customHeight="1">
      <c r="A18" s="212" t="s">
        <v>676</v>
      </c>
      <c r="B18" s="213" t="s">
        <v>1221</v>
      </c>
      <c r="C18" s="521" t="s">
        <v>850</v>
      </c>
      <c r="D18" s="1376">
        <v>1600</v>
      </c>
      <c r="E18" s="1376">
        <v>1900</v>
      </c>
      <c r="F18" s="1376">
        <v>1600</v>
      </c>
    </row>
    <row r="19" spans="1:6" ht="12.75" customHeight="1">
      <c r="A19" s="212" t="s">
        <v>677</v>
      </c>
      <c r="B19" s="213" t="s">
        <v>1221</v>
      </c>
      <c r="C19" s="521" t="s">
        <v>850</v>
      </c>
      <c r="D19" s="1376">
        <v>1600</v>
      </c>
      <c r="E19" s="1376">
        <v>1800</v>
      </c>
      <c r="F19" s="1376">
        <v>1500</v>
      </c>
    </row>
    <row r="20" spans="1:6" ht="12.75" customHeight="1">
      <c r="A20" s="212" t="s">
        <v>1481</v>
      </c>
      <c r="B20" s="213" t="s">
        <v>1221</v>
      </c>
      <c r="C20" s="521" t="s">
        <v>850</v>
      </c>
      <c r="D20" s="1096">
        <v>800</v>
      </c>
      <c r="E20" s="1096">
        <v>700</v>
      </c>
      <c r="F20" s="1096">
        <v>600</v>
      </c>
    </row>
    <row r="21" spans="1:6" ht="12.75" customHeight="1">
      <c r="A21" s="212"/>
      <c r="B21" s="213" t="s">
        <v>873</v>
      </c>
      <c r="C21" s="521" t="s">
        <v>850</v>
      </c>
      <c r="D21" s="1376">
        <v>500</v>
      </c>
      <c r="E21" s="1376">
        <v>640</v>
      </c>
      <c r="F21" s="1376">
        <v>500</v>
      </c>
    </row>
    <row r="22" spans="1:6" ht="12.75" customHeight="1">
      <c r="A22" s="212" t="s">
        <v>1484</v>
      </c>
      <c r="B22" s="213" t="s">
        <v>1221</v>
      </c>
      <c r="C22" s="521" t="s">
        <v>891</v>
      </c>
      <c r="D22" s="1376">
        <v>1000</v>
      </c>
      <c r="E22" s="1376">
        <v>800</v>
      </c>
      <c r="F22" s="1376">
        <v>600</v>
      </c>
    </row>
    <row r="23" spans="1:6" ht="12.75" customHeight="1">
      <c r="A23" s="212"/>
      <c r="B23" s="213" t="s">
        <v>873</v>
      </c>
      <c r="C23" s="521" t="s">
        <v>850</v>
      </c>
      <c r="D23" s="1376">
        <v>800</v>
      </c>
      <c r="E23" s="1376">
        <v>700</v>
      </c>
      <c r="F23" s="1376">
        <v>500</v>
      </c>
    </row>
    <row r="24" spans="1:6" ht="12.75" customHeight="1">
      <c r="A24" s="212" t="s">
        <v>1417</v>
      </c>
      <c r="B24" s="213" t="s">
        <v>1221</v>
      </c>
      <c r="C24" s="521" t="s">
        <v>870</v>
      </c>
      <c r="D24" s="1376">
        <v>900</v>
      </c>
      <c r="E24" s="1376">
        <v>1200</v>
      </c>
      <c r="F24" s="1376">
        <v>1400</v>
      </c>
    </row>
    <row r="25" spans="1:6" ht="12.75" customHeight="1">
      <c r="A25" s="212"/>
      <c r="B25" s="213" t="s">
        <v>873</v>
      </c>
      <c r="C25" s="521" t="s">
        <v>850</v>
      </c>
      <c r="D25" s="1376">
        <v>600</v>
      </c>
      <c r="E25" s="1376">
        <v>1100</v>
      </c>
      <c r="F25" s="1376">
        <v>1300</v>
      </c>
    </row>
    <row r="26" spans="1:6" ht="12.75" customHeight="1">
      <c r="A26" s="212" t="s">
        <v>892</v>
      </c>
      <c r="B26" s="213" t="s">
        <v>1221</v>
      </c>
      <c r="C26" s="521" t="s">
        <v>850</v>
      </c>
      <c r="D26" s="1376">
        <v>3200</v>
      </c>
      <c r="E26" s="1376" t="s">
        <v>857</v>
      </c>
      <c r="F26" s="1376" t="s">
        <v>857</v>
      </c>
    </row>
    <row r="27" spans="1:6" ht="12.75" customHeight="1">
      <c r="A27" s="212"/>
      <c r="B27" s="213" t="s">
        <v>873</v>
      </c>
      <c r="C27" s="521" t="s">
        <v>850</v>
      </c>
      <c r="D27" s="1376">
        <v>2500</v>
      </c>
      <c r="E27" s="1376" t="s">
        <v>857</v>
      </c>
      <c r="F27" s="1376" t="s">
        <v>857</v>
      </c>
    </row>
    <row r="28" spans="1:6" ht="12.75" customHeight="1">
      <c r="A28" s="212" t="s">
        <v>1485</v>
      </c>
      <c r="B28" s="213" t="s">
        <v>1221</v>
      </c>
      <c r="C28" s="521" t="s">
        <v>850</v>
      </c>
      <c r="D28" s="1376">
        <v>3400</v>
      </c>
      <c r="E28" s="1376">
        <v>1700</v>
      </c>
      <c r="F28" s="1376">
        <v>1900</v>
      </c>
    </row>
    <row r="29" spans="1:6" ht="12.75" customHeight="1">
      <c r="A29" s="212"/>
      <c r="B29" s="213" t="s">
        <v>873</v>
      </c>
      <c r="C29" s="521" t="s">
        <v>850</v>
      </c>
      <c r="D29" s="1376">
        <v>2800</v>
      </c>
      <c r="E29" s="1376">
        <v>1600</v>
      </c>
      <c r="F29" s="1376">
        <v>1800</v>
      </c>
    </row>
    <row r="30" spans="1:6" ht="12.75" customHeight="1">
      <c r="A30" s="212" t="s">
        <v>1480</v>
      </c>
      <c r="B30" s="213" t="s">
        <v>1221</v>
      </c>
      <c r="C30" s="521" t="s">
        <v>850</v>
      </c>
      <c r="D30" s="1376">
        <v>1600</v>
      </c>
      <c r="E30" s="1376">
        <v>1100</v>
      </c>
      <c r="F30" s="1376">
        <v>700</v>
      </c>
    </row>
    <row r="31" spans="1:6" ht="12.75" customHeight="1">
      <c r="A31" s="212"/>
      <c r="B31" s="213" t="s">
        <v>873</v>
      </c>
      <c r="C31" s="521" t="s">
        <v>850</v>
      </c>
      <c r="D31" s="1376">
        <v>1200</v>
      </c>
      <c r="E31" s="1376">
        <v>1000</v>
      </c>
      <c r="F31" s="1376">
        <v>600</v>
      </c>
    </row>
    <row r="32" spans="1:6" ht="12.75" customHeight="1">
      <c r="A32" s="212" t="s">
        <v>893</v>
      </c>
      <c r="B32" s="213" t="s">
        <v>1196</v>
      </c>
      <c r="C32" s="521" t="s">
        <v>635</v>
      </c>
      <c r="D32" s="1376">
        <v>3500</v>
      </c>
      <c r="E32" s="1376">
        <v>3700</v>
      </c>
      <c r="F32" s="1376">
        <v>4000</v>
      </c>
    </row>
    <row r="33" spans="1:21" ht="12.75" customHeight="1">
      <c r="A33" s="212" t="s">
        <v>894</v>
      </c>
      <c r="B33" s="213" t="s">
        <v>1196</v>
      </c>
      <c r="C33" s="521" t="s">
        <v>850</v>
      </c>
      <c r="D33" s="1376">
        <v>7000</v>
      </c>
      <c r="E33" s="1376">
        <v>6000</v>
      </c>
      <c r="F33" s="1376">
        <v>6000</v>
      </c>
    </row>
    <row r="34" spans="1:21" ht="12.75" customHeight="1">
      <c r="A34" s="212" t="s">
        <v>896</v>
      </c>
      <c r="B34" s="213" t="s">
        <v>1196</v>
      </c>
      <c r="C34" s="521" t="s">
        <v>895</v>
      </c>
      <c r="D34" s="1376">
        <v>30</v>
      </c>
      <c r="E34" s="1376">
        <v>34</v>
      </c>
      <c r="F34" s="1376">
        <v>38</v>
      </c>
    </row>
    <row r="35" spans="1:21" ht="12.75" customHeight="1">
      <c r="A35" s="212" t="s">
        <v>897</v>
      </c>
      <c r="B35" s="213" t="s">
        <v>873</v>
      </c>
      <c r="C35" s="521" t="s">
        <v>870</v>
      </c>
      <c r="D35" s="1376" t="s">
        <v>857</v>
      </c>
      <c r="E35" s="1376" t="s">
        <v>857</v>
      </c>
      <c r="F35" s="1376" t="s">
        <v>857</v>
      </c>
    </row>
    <row r="36" spans="1:21" ht="12.75" customHeight="1">
      <c r="A36" s="212" t="s">
        <v>898</v>
      </c>
      <c r="B36" s="213" t="s">
        <v>1221</v>
      </c>
      <c r="C36" s="521" t="s">
        <v>850</v>
      </c>
      <c r="D36" s="1376">
        <v>2000</v>
      </c>
      <c r="E36" s="1376">
        <v>1800</v>
      </c>
      <c r="F36" s="1376">
        <v>1500</v>
      </c>
    </row>
    <row r="37" spans="1:21" ht="12.75" customHeight="1">
      <c r="A37" s="212" t="s">
        <v>899</v>
      </c>
      <c r="B37" s="213" t="s">
        <v>1196</v>
      </c>
      <c r="C37" s="521" t="s">
        <v>850</v>
      </c>
      <c r="D37" s="1376">
        <v>4000</v>
      </c>
      <c r="E37" s="1376">
        <v>4400</v>
      </c>
      <c r="F37" s="1376">
        <v>4500</v>
      </c>
      <c r="M37" s="80"/>
    </row>
    <row r="38" spans="1:21" ht="12.75" customHeight="1">
      <c r="A38" s="212" t="s">
        <v>901</v>
      </c>
      <c r="B38" s="213" t="s">
        <v>1196</v>
      </c>
      <c r="C38" s="521" t="s">
        <v>850</v>
      </c>
      <c r="D38" s="1376">
        <v>14000</v>
      </c>
      <c r="E38" s="1376" t="s">
        <v>857</v>
      </c>
      <c r="F38" s="1376" t="s">
        <v>857</v>
      </c>
      <c r="U38" s="80"/>
    </row>
    <row r="39" spans="1:21" ht="12.75" customHeight="1">
      <c r="A39" s="212" t="s">
        <v>902</v>
      </c>
      <c r="B39" s="213" t="s">
        <v>1196</v>
      </c>
      <c r="C39" s="521" t="s">
        <v>850</v>
      </c>
      <c r="D39" s="1376">
        <v>15000</v>
      </c>
      <c r="E39" s="1376">
        <v>13500</v>
      </c>
      <c r="F39" s="1376">
        <v>14000</v>
      </c>
    </row>
    <row r="40" spans="1:21" ht="12.75" customHeight="1">
      <c r="A40" s="550"/>
      <c r="B40" s="551" t="s">
        <v>871</v>
      </c>
      <c r="C40" s="521" t="s">
        <v>850</v>
      </c>
      <c r="D40" s="1096">
        <v>16500</v>
      </c>
      <c r="E40" s="1096">
        <v>14000</v>
      </c>
      <c r="F40" s="1096">
        <v>15000</v>
      </c>
    </row>
    <row r="41" spans="1:21" ht="12.75" customHeight="1">
      <c r="A41" s="212" t="s">
        <v>903</v>
      </c>
      <c r="B41" s="213" t="s">
        <v>1196</v>
      </c>
      <c r="C41" s="521" t="s">
        <v>850</v>
      </c>
      <c r="D41" s="1376">
        <v>40000</v>
      </c>
      <c r="E41" s="1376" t="s">
        <v>857</v>
      </c>
      <c r="F41" s="1376" t="s">
        <v>857</v>
      </c>
      <c r="H41" s="7"/>
    </row>
    <row r="42" spans="1:21" ht="12.75" customHeight="1">
      <c r="A42" s="830"/>
      <c r="B42" s="551" t="s">
        <v>871</v>
      </c>
      <c r="C42" s="1367" t="s">
        <v>850</v>
      </c>
      <c r="D42" s="1376">
        <v>30000</v>
      </c>
      <c r="E42" s="1376" t="s">
        <v>857</v>
      </c>
      <c r="F42" s="1376" t="s">
        <v>857</v>
      </c>
    </row>
    <row r="43" spans="1:21" ht="12.75" customHeight="1">
      <c r="A43" s="212" t="s">
        <v>51</v>
      </c>
      <c r="B43" s="213" t="s">
        <v>1196</v>
      </c>
      <c r="C43" s="521" t="s">
        <v>850</v>
      </c>
      <c r="D43" s="1376">
        <v>50000</v>
      </c>
      <c r="E43" s="1376" t="s">
        <v>857</v>
      </c>
      <c r="F43" s="1376" t="s">
        <v>857</v>
      </c>
    </row>
    <row r="44" spans="1:21" ht="12.75" customHeight="1">
      <c r="A44" s="550" t="s">
        <v>620</v>
      </c>
      <c r="B44" s="551" t="s">
        <v>1825</v>
      </c>
      <c r="C44" s="47" t="s">
        <v>891</v>
      </c>
      <c r="D44" s="1376">
        <v>1200</v>
      </c>
      <c r="E44" s="1376">
        <v>1400</v>
      </c>
      <c r="F44" s="1376">
        <v>1500</v>
      </c>
    </row>
    <row r="45" spans="1:21" ht="12.75" customHeight="1">
      <c r="A45" s="550" t="s">
        <v>1839</v>
      </c>
      <c r="B45" s="551" t="s">
        <v>1825</v>
      </c>
      <c r="C45" s="47" t="s">
        <v>850</v>
      </c>
      <c r="D45" s="1376">
        <v>1500</v>
      </c>
      <c r="E45" s="1376">
        <v>1500</v>
      </c>
      <c r="F45" s="1376">
        <v>1600</v>
      </c>
    </row>
    <row r="46" spans="1:21" ht="12.75" customHeight="1">
      <c r="A46" s="550" t="s">
        <v>625</v>
      </c>
      <c r="B46" s="551" t="s">
        <v>1221</v>
      </c>
      <c r="C46" s="47" t="s">
        <v>850</v>
      </c>
      <c r="D46" s="1376">
        <v>300</v>
      </c>
      <c r="E46" s="1376" t="s">
        <v>857</v>
      </c>
      <c r="F46" s="1376" t="s">
        <v>857</v>
      </c>
      <c r="H46" s="7"/>
    </row>
    <row r="47" spans="1:21" ht="12.75" customHeight="1">
      <c r="A47" s="550"/>
      <c r="B47" s="551" t="s">
        <v>873</v>
      </c>
      <c r="C47" s="47" t="s">
        <v>850</v>
      </c>
      <c r="D47" s="1376" t="s">
        <v>857</v>
      </c>
      <c r="E47" s="1376" t="s">
        <v>857</v>
      </c>
      <c r="F47" s="1376" t="s">
        <v>857</v>
      </c>
      <c r="H47" s="7"/>
    </row>
    <row r="48" spans="1:21" ht="12.75" customHeight="1">
      <c r="A48" s="550" t="s">
        <v>626</v>
      </c>
      <c r="B48" s="551" t="s">
        <v>1221</v>
      </c>
      <c r="C48" s="47" t="s">
        <v>870</v>
      </c>
      <c r="D48" s="1376">
        <v>2800</v>
      </c>
      <c r="E48" s="1376">
        <v>2000</v>
      </c>
      <c r="F48" s="1376">
        <v>1800</v>
      </c>
    </row>
    <row r="49" spans="1:8" ht="12.75" customHeight="1">
      <c r="A49" s="550"/>
      <c r="B49" s="551" t="s">
        <v>873</v>
      </c>
      <c r="C49" s="47" t="s">
        <v>850</v>
      </c>
      <c r="D49" s="1376">
        <v>1600</v>
      </c>
      <c r="E49" s="1376">
        <v>1800</v>
      </c>
      <c r="F49" s="1376">
        <v>1700</v>
      </c>
    </row>
    <row r="50" spans="1:8" ht="12.75" customHeight="1">
      <c r="A50" s="550" t="s">
        <v>627</v>
      </c>
      <c r="B50" s="551" t="s">
        <v>873</v>
      </c>
      <c r="C50" s="47" t="s">
        <v>891</v>
      </c>
      <c r="D50" s="1376" t="s">
        <v>857</v>
      </c>
      <c r="E50" s="1376">
        <v>220</v>
      </c>
      <c r="F50" s="1376">
        <v>230</v>
      </c>
    </row>
    <row r="51" spans="1:8" ht="12.75" customHeight="1">
      <c r="A51" s="550" t="s">
        <v>628</v>
      </c>
      <c r="B51" s="551" t="s">
        <v>873</v>
      </c>
      <c r="C51" s="47" t="s">
        <v>850</v>
      </c>
      <c r="D51" s="1376" t="s">
        <v>857</v>
      </c>
      <c r="E51" s="1376">
        <v>250</v>
      </c>
      <c r="F51" s="1376">
        <v>260</v>
      </c>
    </row>
    <row r="52" spans="1:8" ht="12.75" customHeight="1">
      <c r="A52" s="550" t="s">
        <v>629</v>
      </c>
      <c r="B52" s="551" t="s">
        <v>1205</v>
      </c>
      <c r="C52" s="47" t="s">
        <v>870</v>
      </c>
      <c r="D52" s="1376">
        <v>10400</v>
      </c>
      <c r="E52" s="1376">
        <v>10500</v>
      </c>
      <c r="F52" s="1376">
        <v>12500</v>
      </c>
    </row>
    <row r="53" spans="1:8" ht="12.75" customHeight="1">
      <c r="A53" s="550" t="s">
        <v>630</v>
      </c>
      <c r="B53" s="551" t="s">
        <v>1205</v>
      </c>
      <c r="C53" s="47" t="s">
        <v>635</v>
      </c>
      <c r="D53" s="1376" t="s">
        <v>857</v>
      </c>
      <c r="E53" s="1376" t="s">
        <v>1863</v>
      </c>
      <c r="F53" s="1376">
        <v>1340</v>
      </c>
    </row>
    <row r="54" spans="1:8" ht="12.75" customHeight="1">
      <c r="A54" s="550"/>
      <c r="B54" s="551" t="s">
        <v>1825</v>
      </c>
      <c r="C54" s="548" t="s">
        <v>850</v>
      </c>
      <c r="D54" s="1376" t="s">
        <v>857</v>
      </c>
      <c r="E54" s="1376">
        <v>240</v>
      </c>
      <c r="F54" s="1376">
        <v>250</v>
      </c>
    </row>
    <row r="55" spans="1:8" ht="12.75" customHeight="1">
      <c r="A55" s="550" t="s">
        <v>724</v>
      </c>
      <c r="B55" s="551" t="s">
        <v>1205</v>
      </c>
      <c r="C55" s="548" t="s">
        <v>850</v>
      </c>
      <c r="D55" s="1376">
        <v>840</v>
      </c>
      <c r="E55" s="1376" t="s">
        <v>1864</v>
      </c>
      <c r="F55" s="1376">
        <v>1550</v>
      </c>
    </row>
    <row r="56" spans="1:8" ht="12.75" customHeight="1">
      <c r="A56" s="552" t="s">
        <v>634</v>
      </c>
      <c r="B56" s="553" t="s">
        <v>1205</v>
      </c>
      <c r="C56" s="547" t="s">
        <v>870</v>
      </c>
      <c r="D56" s="1376" t="s">
        <v>857</v>
      </c>
      <c r="E56" s="1376" t="s">
        <v>1865</v>
      </c>
      <c r="F56" s="1376">
        <v>1500</v>
      </c>
      <c r="H56" s="7"/>
    </row>
    <row r="57" spans="1:8" ht="14.25" customHeight="1">
      <c r="C57" s="94"/>
      <c r="D57" s="2155" t="s">
        <v>593</v>
      </c>
      <c r="E57" s="2155"/>
      <c r="F57" s="2155"/>
      <c r="G57" s="280"/>
    </row>
    <row r="58" spans="1:8" ht="12.6" customHeight="1"/>
    <row r="59" spans="1:8">
      <c r="A59" s="777"/>
      <c r="B59" s="777"/>
      <c r="C59" s="777"/>
      <c r="D59" s="1378"/>
      <c r="E59" s="1378"/>
      <c r="F59" s="1378"/>
    </row>
  </sheetData>
  <mergeCells count="7">
    <mergeCell ref="A1:F1"/>
    <mergeCell ref="D57:F57"/>
    <mergeCell ref="A2:F2"/>
    <mergeCell ref="D3:F3"/>
    <mergeCell ref="A3:A4"/>
    <mergeCell ref="B3:B4"/>
    <mergeCell ref="C3:C4"/>
  </mergeCells>
  <phoneticPr fontId="0" type="noConversion"/>
  <conditionalFormatting sqref="N1:IV1048576 H1:M39 H41:M65536 A1:G1048576">
    <cfRule type="cellIs" dxfId="8" priority="1" stopIfTrue="1" operator="equal">
      <formula>".."</formula>
    </cfRule>
  </conditionalFormatting>
  <printOptions horizontalCentered="1"/>
  <pageMargins left="0.1" right="0.1" top="0.52" bottom="0.1" header="0.27" footer="0.1"/>
  <pageSetup paperSize="9" orientation="portrait" blackAndWhite="1" r:id="rId1"/>
  <headerFooter alignWithMargins="0"/>
</worksheet>
</file>

<file path=xl/worksheets/sheet65.xml><?xml version="1.0" encoding="utf-8"?>
<worksheet xmlns="http://schemas.openxmlformats.org/spreadsheetml/2006/main" xmlns:r="http://schemas.openxmlformats.org/officeDocument/2006/relationships">
  <dimension ref="A1:F37"/>
  <sheetViews>
    <sheetView workbookViewId="0">
      <selection activeCell="J11" sqref="J11"/>
    </sheetView>
  </sheetViews>
  <sheetFormatPr defaultRowHeight="12.75"/>
  <cols>
    <col min="1" max="6" width="14.85546875" customWidth="1"/>
  </cols>
  <sheetData>
    <row r="1" spans="1:6" ht="17.25" customHeight="1">
      <c r="A1" s="1708" t="s">
        <v>1330</v>
      </c>
      <c r="B1" s="1708"/>
      <c r="C1" s="1708"/>
      <c r="D1" s="1708"/>
      <c r="E1" s="1708"/>
      <c r="F1" s="1708"/>
    </row>
    <row r="2" spans="1:6" ht="17.25" customHeight="1">
      <c r="A2" s="1715" t="str">
        <f>CONCATENATE("Regulated Market by category in the district of ",District!$A$1)</f>
        <v>Regulated Market by category in the district of South 24-Parganas</v>
      </c>
      <c r="B2" s="1715"/>
      <c r="C2" s="1715"/>
      <c r="D2" s="1715"/>
      <c r="E2" s="1715"/>
      <c r="F2" s="1715"/>
    </row>
    <row r="3" spans="1:6" ht="13.5" customHeight="1">
      <c r="F3" s="92" t="s">
        <v>15</v>
      </c>
    </row>
    <row r="4" spans="1:6" ht="29.25" customHeight="1">
      <c r="A4" s="2164" t="s">
        <v>926</v>
      </c>
      <c r="B4" s="2165"/>
      <c r="C4" s="2164" t="s">
        <v>16</v>
      </c>
      <c r="D4" s="2165"/>
      <c r="E4" s="2164" t="s">
        <v>17</v>
      </c>
      <c r="F4" s="2165"/>
    </row>
    <row r="5" spans="1:6" ht="19.5" customHeight="1">
      <c r="A5" s="1716" t="s">
        <v>928</v>
      </c>
      <c r="B5" s="1797"/>
      <c r="C5" s="1716" t="s">
        <v>929</v>
      </c>
      <c r="D5" s="1797"/>
      <c r="E5" s="1716" t="s">
        <v>930</v>
      </c>
      <c r="F5" s="1797"/>
    </row>
    <row r="6" spans="1:6" ht="26.25" customHeight="1">
      <c r="A6" s="2158" t="s">
        <v>108</v>
      </c>
      <c r="B6" s="2169"/>
      <c r="C6" s="2177" t="s">
        <v>1229</v>
      </c>
      <c r="D6" s="2178"/>
      <c r="E6" s="2040">
        <v>45</v>
      </c>
      <c r="F6" s="1963"/>
    </row>
    <row r="7" spans="1:6" ht="26.25" customHeight="1">
      <c r="A7" s="2166" t="s">
        <v>682</v>
      </c>
      <c r="B7" s="2167"/>
      <c r="C7" s="1938">
        <v>1</v>
      </c>
      <c r="D7" s="1940"/>
      <c r="E7" s="1791">
        <v>45</v>
      </c>
      <c r="F7" s="2039"/>
    </row>
    <row r="8" spans="1:6" ht="26.25" customHeight="1">
      <c r="A8" s="2166" t="s">
        <v>680</v>
      </c>
      <c r="B8" s="2167"/>
      <c r="C8" s="1938">
        <v>1</v>
      </c>
      <c r="D8" s="1940"/>
      <c r="E8" s="1791">
        <v>45</v>
      </c>
      <c r="F8" s="2039"/>
    </row>
    <row r="9" spans="1:6" ht="26.25" customHeight="1">
      <c r="A9" s="2166" t="s">
        <v>109</v>
      </c>
      <c r="B9" s="2167"/>
      <c r="C9" s="1939" t="s">
        <v>1229</v>
      </c>
      <c r="D9" s="1940"/>
      <c r="E9" s="1791">
        <v>1</v>
      </c>
      <c r="F9" s="2039"/>
    </row>
    <row r="10" spans="1:6" ht="26.25" customHeight="1">
      <c r="A10" s="2161" t="s">
        <v>1926</v>
      </c>
      <c r="B10" s="2162"/>
      <c r="C10" s="2163" t="s">
        <v>1229</v>
      </c>
      <c r="D10" s="1925"/>
      <c r="E10" s="1806">
        <v>1</v>
      </c>
      <c r="F10" s="1964"/>
    </row>
    <row r="11" spans="1:6" ht="13.5" customHeight="1">
      <c r="A11" s="1009"/>
      <c r="F11" s="1008" t="s">
        <v>589</v>
      </c>
    </row>
    <row r="12" spans="1:6" ht="19.5" customHeight="1">
      <c r="E12" s="94"/>
      <c r="F12" s="94" t="s">
        <v>74</v>
      </c>
    </row>
    <row r="13" spans="1:6">
      <c r="A13" s="2168" t="s">
        <v>1329</v>
      </c>
      <c r="B13" s="2168"/>
      <c r="C13" s="2168"/>
      <c r="D13" s="2168"/>
      <c r="E13" s="2168"/>
      <c r="F13" s="2168"/>
    </row>
    <row r="14" spans="1:6" ht="45" customHeight="1">
      <c r="A14" s="2160" t="str">
        <f>CONCATENATE("Consumer Price Index Numbers for Families in different Monthly Expenditure Levels in the district of ",District!$A$1)</f>
        <v>Consumer Price Index Numbers for Families in different Monthly Expenditure Levels in the district of South 24-Parganas</v>
      </c>
      <c r="B14" s="2160"/>
      <c r="C14" s="2160"/>
      <c r="D14" s="2160"/>
      <c r="E14" s="2160"/>
      <c r="F14" s="2160"/>
    </row>
    <row r="15" spans="1:6" ht="16.5" customHeight="1">
      <c r="A15" s="2170" t="s">
        <v>1820</v>
      </c>
      <c r="B15" s="2170"/>
      <c r="C15" s="3"/>
      <c r="D15" s="3"/>
      <c r="E15" s="3"/>
      <c r="F15" s="1104" t="s">
        <v>397</v>
      </c>
    </row>
    <row r="16" spans="1:6" ht="15.75" customHeight="1">
      <c r="A16" s="2147" t="s">
        <v>671</v>
      </c>
      <c r="B16" s="2171" t="s">
        <v>1848</v>
      </c>
      <c r="C16" s="2172"/>
      <c r="D16" s="2172"/>
      <c r="E16" s="2172"/>
      <c r="F16" s="2173"/>
    </row>
    <row r="17" spans="1:6" ht="21.75" customHeight="1">
      <c r="A17" s="2147"/>
      <c r="B17" s="633" t="s">
        <v>1726</v>
      </c>
      <c r="C17" s="633" t="s">
        <v>1727</v>
      </c>
      <c r="D17" s="633" t="s">
        <v>1728</v>
      </c>
      <c r="E17" s="1106" t="s">
        <v>1729</v>
      </c>
      <c r="F17" s="1107" t="s">
        <v>1320</v>
      </c>
    </row>
    <row r="18" spans="1:6" ht="14.25" customHeight="1">
      <c r="A18" s="1101" t="s">
        <v>928</v>
      </c>
      <c r="B18" s="1108" t="s">
        <v>929</v>
      </c>
      <c r="C18" s="1109" t="s">
        <v>930</v>
      </c>
      <c r="D18" s="1108" t="s">
        <v>931</v>
      </c>
      <c r="E18" s="1108" t="s">
        <v>933</v>
      </c>
      <c r="F18" s="1102" t="s">
        <v>934</v>
      </c>
    </row>
    <row r="19" spans="1:6" ht="21.75" customHeight="1">
      <c r="A19" s="1110">
        <v>2010</v>
      </c>
      <c r="B19" s="1111">
        <v>135.6</v>
      </c>
      <c r="C19" s="1112">
        <v>137.1</v>
      </c>
      <c r="D19" s="1111">
        <v>133.5</v>
      </c>
      <c r="E19" s="1111">
        <v>131.6</v>
      </c>
      <c r="F19" s="1323">
        <v>133.80000000000001</v>
      </c>
    </row>
    <row r="20" spans="1:6" ht="21.75" customHeight="1">
      <c r="A20" s="1110">
        <v>2011</v>
      </c>
      <c r="B20" s="1111">
        <v>145.05000000000001</v>
      </c>
      <c r="C20" s="1112">
        <v>146.18333333333334</v>
      </c>
      <c r="D20" s="1111">
        <v>142.59166666666667</v>
      </c>
      <c r="E20" s="1111">
        <v>141.16666666666666</v>
      </c>
      <c r="F20" s="1323">
        <v>143.09166666666667</v>
      </c>
    </row>
    <row r="21" spans="1:6" ht="21.75" customHeight="1">
      <c r="A21" s="1110">
        <v>2012</v>
      </c>
      <c r="B21" s="1111">
        <v>158.5916666666667</v>
      </c>
      <c r="C21" s="1112">
        <v>159.55000000000001</v>
      </c>
      <c r="D21" s="1111">
        <v>154.72499999999999</v>
      </c>
      <c r="E21" s="1111">
        <v>152.80833333333334</v>
      </c>
      <c r="F21" s="1323">
        <v>155.46666666666667</v>
      </c>
    </row>
    <row r="22" spans="1:6" ht="21.75" customHeight="1">
      <c r="A22" s="1110">
        <v>2013</v>
      </c>
      <c r="B22" s="1111">
        <v>173.90833333333333</v>
      </c>
      <c r="C22" s="1112">
        <v>173.65</v>
      </c>
      <c r="D22" s="1111">
        <v>168.29166666666666</v>
      </c>
      <c r="E22" s="1111">
        <v>165.49166666666665</v>
      </c>
      <c r="F22" s="1323">
        <v>169.03333333333336</v>
      </c>
    </row>
    <row r="23" spans="1:6" ht="21.75" customHeight="1">
      <c r="A23" s="1105">
        <v>2014</v>
      </c>
      <c r="B23" s="1113">
        <f>AVERAGE(B25:B36)</f>
        <v>185.89166666666665</v>
      </c>
      <c r="C23" s="1114">
        <f>AVERAGE(C25:C36)</f>
        <v>185.89166666666668</v>
      </c>
      <c r="D23" s="1113">
        <f>AVERAGE(D25:D36)</f>
        <v>179.91666666666666</v>
      </c>
      <c r="E23" s="1113">
        <f>AVERAGE(E25:E36)</f>
        <v>176.20833333333334</v>
      </c>
      <c r="F23" s="1115">
        <f>AVERAGE(F25:F36)</f>
        <v>180.43333333333337</v>
      </c>
    </row>
    <row r="24" spans="1:6" ht="21" customHeight="1">
      <c r="A24" s="1103" t="s">
        <v>935</v>
      </c>
      <c r="B24" s="2174" t="str">
        <f>A16 &amp;" : " &amp;A23</f>
        <v>Year : 2014</v>
      </c>
      <c r="C24" s="2175"/>
      <c r="D24" s="2175"/>
      <c r="E24" s="2175"/>
      <c r="F24" s="2176"/>
    </row>
    <row r="25" spans="1:6" ht="20.25" customHeight="1">
      <c r="A25" s="613" t="s">
        <v>938</v>
      </c>
      <c r="B25" s="678">
        <v>181.9</v>
      </c>
      <c r="C25" s="678">
        <v>181.3</v>
      </c>
      <c r="D25" s="678">
        <v>175.3</v>
      </c>
      <c r="E25" s="430">
        <v>171.6</v>
      </c>
      <c r="F25" s="296">
        <v>175.9</v>
      </c>
    </row>
    <row r="26" spans="1:6" ht="21.75" customHeight="1">
      <c r="A26" s="613" t="s">
        <v>939</v>
      </c>
      <c r="B26" s="678">
        <v>181.8</v>
      </c>
      <c r="C26" s="678">
        <v>180.8</v>
      </c>
      <c r="D26" s="678">
        <v>174.9</v>
      </c>
      <c r="E26" s="430">
        <v>171.6</v>
      </c>
      <c r="F26" s="77">
        <v>175.7</v>
      </c>
    </row>
    <row r="27" spans="1:6" ht="21.75" customHeight="1">
      <c r="A27" s="613" t="s">
        <v>940</v>
      </c>
      <c r="B27" s="678">
        <v>180.1</v>
      </c>
      <c r="C27" s="678">
        <v>180.1</v>
      </c>
      <c r="D27" s="678">
        <v>174.2</v>
      </c>
      <c r="E27" s="430">
        <v>171.3</v>
      </c>
      <c r="F27" s="430">
        <v>175</v>
      </c>
    </row>
    <row r="28" spans="1:6" ht="20.25" customHeight="1">
      <c r="A28" s="613" t="s">
        <v>949</v>
      </c>
      <c r="B28" s="678">
        <v>179.5</v>
      </c>
      <c r="C28" s="678">
        <v>180.1</v>
      </c>
      <c r="D28" s="678">
        <v>174.3</v>
      </c>
      <c r="E28" s="430">
        <v>171.4</v>
      </c>
      <c r="F28" s="430">
        <v>175</v>
      </c>
    </row>
    <row r="29" spans="1:6" ht="20.25" customHeight="1">
      <c r="A29" s="613" t="s">
        <v>950</v>
      </c>
      <c r="B29" s="678">
        <v>182.3</v>
      </c>
      <c r="C29" s="678">
        <v>182.3</v>
      </c>
      <c r="D29" s="678">
        <v>176.3</v>
      </c>
      <c r="E29" s="430">
        <v>172.6</v>
      </c>
      <c r="F29" s="430">
        <v>176.8</v>
      </c>
    </row>
    <row r="30" spans="1:6" ht="21.75" customHeight="1">
      <c r="A30" s="613" t="s">
        <v>951</v>
      </c>
      <c r="B30" s="678">
        <v>186.4</v>
      </c>
      <c r="C30" s="678">
        <v>186.8</v>
      </c>
      <c r="D30" s="678">
        <v>181.1</v>
      </c>
      <c r="E30" s="430">
        <v>177.4</v>
      </c>
      <c r="F30" s="77">
        <v>181.5</v>
      </c>
    </row>
    <row r="31" spans="1:6" ht="21" customHeight="1">
      <c r="A31" s="613" t="s">
        <v>952</v>
      </c>
      <c r="B31" s="678">
        <v>189.1</v>
      </c>
      <c r="C31" s="678">
        <v>188.7</v>
      </c>
      <c r="D31" s="678">
        <v>183</v>
      </c>
      <c r="E31" s="430">
        <v>179.1</v>
      </c>
      <c r="F31" s="77">
        <v>183.4</v>
      </c>
    </row>
    <row r="32" spans="1:6" ht="20.25" customHeight="1">
      <c r="A32" s="613" t="s">
        <v>953</v>
      </c>
      <c r="B32" s="678">
        <v>189.3</v>
      </c>
      <c r="C32" s="678">
        <v>188.9</v>
      </c>
      <c r="D32" s="678">
        <v>183.1</v>
      </c>
      <c r="E32" s="430">
        <v>179</v>
      </c>
      <c r="F32" s="77">
        <v>183.5</v>
      </c>
    </row>
    <row r="33" spans="1:6" ht="21" customHeight="1">
      <c r="A33" s="613" t="s">
        <v>954</v>
      </c>
      <c r="B33" s="678">
        <v>190.1</v>
      </c>
      <c r="C33" s="678">
        <v>189.9</v>
      </c>
      <c r="D33" s="678">
        <v>183.9</v>
      </c>
      <c r="E33" s="430">
        <v>179.5</v>
      </c>
      <c r="F33" s="77">
        <v>184.2</v>
      </c>
    </row>
    <row r="34" spans="1:6" ht="19.5" customHeight="1">
      <c r="A34" s="613" t="s">
        <v>955</v>
      </c>
      <c r="B34" s="678">
        <v>189.5</v>
      </c>
      <c r="C34" s="678">
        <v>189.9</v>
      </c>
      <c r="D34" s="678">
        <v>183.8</v>
      </c>
      <c r="E34" s="430">
        <v>179.6</v>
      </c>
      <c r="F34" s="77">
        <v>184.1</v>
      </c>
    </row>
    <row r="35" spans="1:6" ht="20.25" customHeight="1">
      <c r="A35" s="613" t="s">
        <v>956</v>
      </c>
      <c r="B35" s="678">
        <v>189.2</v>
      </c>
      <c r="C35" s="678">
        <v>189.7</v>
      </c>
      <c r="D35" s="678">
        <v>183.7</v>
      </c>
      <c r="E35" s="430">
        <v>179.7</v>
      </c>
      <c r="F35" s="77">
        <v>184</v>
      </c>
    </row>
    <row r="36" spans="1:6" ht="21.75" customHeight="1">
      <c r="A36" s="1007" t="s">
        <v>957</v>
      </c>
      <c r="B36" s="895">
        <v>191.5</v>
      </c>
      <c r="C36" s="895">
        <v>192.2</v>
      </c>
      <c r="D36" s="895">
        <v>185.4</v>
      </c>
      <c r="E36" s="638">
        <v>181.7</v>
      </c>
      <c r="F36" s="78">
        <v>186.1</v>
      </c>
    </row>
    <row r="37" spans="1:6" ht="15" customHeight="1">
      <c r="A37" s="1238"/>
      <c r="B37" s="896"/>
      <c r="F37" s="1008" t="s">
        <v>18</v>
      </c>
    </row>
  </sheetData>
  <mergeCells count="29">
    <mergeCell ref="A15:B15"/>
    <mergeCell ref="A16:A17"/>
    <mergeCell ref="B16:F16"/>
    <mergeCell ref="B24:F24"/>
    <mergeCell ref="A1:F1"/>
    <mergeCell ref="A2:F2"/>
    <mergeCell ref="E4:F4"/>
    <mergeCell ref="E5:F5"/>
    <mergeCell ref="A4:B4"/>
    <mergeCell ref="A5:B5"/>
    <mergeCell ref="A8:B8"/>
    <mergeCell ref="C8:D8"/>
    <mergeCell ref="E6:F6"/>
    <mergeCell ref="E7:F7"/>
    <mergeCell ref="E8:F8"/>
    <mergeCell ref="C6:D6"/>
    <mergeCell ref="A14:F14"/>
    <mergeCell ref="A10:B10"/>
    <mergeCell ref="C10:D10"/>
    <mergeCell ref="E10:F10"/>
    <mergeCell ref="C4:D4"/>
    <mergeCell ref="C5:D5"/>
    <mergeCell ref="E9:F9"/>
    <mergeCell ref="A9:B9"/>
    <mergeCell ref="C9:D9"/>
    <mergeCell ref="A13:F13"/>
    <mergeCell ref="C7:D7"/>
    <mergeCell ref="A6:B6"/>
    <mergeCell ref="A7:B7"/>
  </mergeCells>
  <phoneticPr fontId="0" type="noConversion"/>
  <printOptions horizontalCentered="1"/>
  <pageMargins left="0.1" right="0.1" top="0.51" bottom="0.1" header="0.61" footer="0.1"/>
  <pageSetup paperSize="9" orientation="portrait" blackAndWhite="1" r:id="rId1"/>
  <headerFooter alignWithMargins="0"/>
</worksheet>
</file>

<file path=xl/worksheets/sheet66.xml><?xml version="1.0" encoding="utf-8"?>
<worksheet xmlns="http://schemas.openxmlformats.org/spreadsheetml/2006/main" xmlns:r="http://schemas.openxmlformats.org/officeDocument/2006/relationships">
  <dimension ref="A1:I39"/>
  <sheetViews>
    <sheetView topLeftCell="A19" workbookViewId="0">
      <selection activeCell="J11" sqref="J11"/>
    </sheetView>
  </sheetViews>
  <sheetFormatPr defaultRowHeight="12.75"/>
  <cols>
    <col min="1" max="1" width="15.140625" customWidth="1"/>
    <col min="2" max="2" width="14.140625" customWidth="1"/>
    <col min="3" max="3" width="13.7109375" customWidth="1"/>
    <col min="4" max="4" width="14" customWidth="1"/>
    <col min="5" max="5" width="13.7109375" customWidth="1"/>
    <col min="6" max="6" width="15" customWidth="1"/>
    <col min="7" max="7" width="3.7109375" customWidth="1"/>
  </cols>
  <sheetData>
    <row r="1" spans="1:9" ht="15" customHeight="1">
      <c r="A1" s="1765" t="s">
        <v>803</v>
      </c>
      <c r="B1" s="1765"/>
      <c r="C1" s="1765"/>
      <c r="D1" s="1765"/>
      <c r="E1" s="1765"/>
      <c r="F1" s="1765"/>
    </row>
    <row r="2" spans="1:9" ht="39" customHeight="1">
      <c r="A2" s="1730" t="s">
        <v>801</v>
      </c>
      <c r="B2" s="2187"/>
      <c r="C2" s="2187"/>
      <c r="D2" s="2187"/>
      <c r="E2" s="2187"/>
      <c r="F2" s="2187"/>
      <c r="G2" s="46"/>
      <c r="H2" s="46"/>
      <c r="I2" s="46"/>
    </row>
    <row r="3" spans="1:9" ht="13.5" customHeight="1">
      <c r="A3" s="2188" t="s">
        <v>1820</v>
      </c>
      <c r="B3" s="2188"/>
      <c r="F3" s="94" t="s">
        <v>1849</v>
      </c>
    </row>
    <row r="4" spans="1:9" ht="19.5" customHeight="1">
      <c r="A4" s="211" t="s">
        <v>19</v>
      </c>
      <c r="B4" s="676">
        <v>2010</v>
      </c>
      <c r="C4" s="676">
        <v>2011</v>
      </c>
      <c r="D4" s="676">
        <v>2012</v>
      </c>
      <c r="E4" s="676">
        <v>2013</v>
      </c>
      <c r="F4" s="676">
        <v>2014</v>
      </c>
    </row>
    <row r="5" spans="1:9" ht="18" customHeight="1">
      <c r="A5" s="199" t="s">
        <v>928</v>
      </c>
      <c r="B5" s="120" t="s">
        <v>929</v>
      </c>
      <c r="C5" s="119" t="s">
        <v>930</v>
      </c>
      <c r="D5" s="199" t="s">
        <v>931</v>
      </c>
      <c r="E5" s="119" t="s">
        <v>932</v>
      </c>
      <c r="F5" s="199" t="s">
        <v>933</v>
      </c>
    </row>
    <row r="6" spans="1:9" ht="21" customHeight="1">
      <c r="A6" s="536" t="s">
        <v>938</v>
      </c>
      <c r="B6" s="296">
        <v>167</v>
      </c>
      <c r="C6" s="296">
        <v>180</v>
      </c>
      <c r="D6" s="296">
        <v>184</v>
      </c>
      <c r="E6" s="296">
        <v>208</v>
      </c>
      <c r="F6" s="296">
        <v>231</v>
      </c>
    </row>
    <row r="7" spans="1:9" ht="21" customHeight="1">
      <c r="A7" s="536" t="s">
        <v>939</v>
      </c>
      <c r="B7" s="77">
        <v>166</v>
      </c>
      <c r="C7" s="77">
        <v>178</v>
      </c>
      <c r="D7" s="77">
        <v>186</v>
      </c>
      <c r="E7" s="77">
        <v>209</v>
      </c>
      <c r="F7" s="77">
        <v>229</v>
      </c>
    </row>
    <row r="8" spans="1:9" ht="21" customHeight="1">
      <c r="A8" s="536" t="s">
        <v>940</v>
      </c>
      <c r="B8" s="77">
        <v>166</v>
      </c>
      <c r="C8" s="77">
        <v>178</v>
      </c>
      <c r="D8" s="77">
        <v>190</v>
      </c>
      <c r="E8" s="77">
        <v>210</v>
      </c>
      <c r="F8" s="77">
        <v>232</v>
      </c>
    </row>
    <row r="9" spans="1:9" ht="21" customHeight="1">
      <c r="A9" s="536" t="s">
        <v>949</v>
      </c>
      <c r="B9" s="77">
        <v>168</v>
      </c>
      <c r="C9" s="77">
        <v>180</v>
      </c>
      <c r="D9" s="77">
        <v>196</v>
      </c>
      <c r="E9" s="77">
        <v>214</v>
      </c>
      <c r="F9" s="77">
        <v>236</v>
      </c>
    </row>
    <row r="10" spans="1:9" ht="21" customHeight="1">
      <c r="A10" s="536" t="s">
        <v>950</v>
      </c>
      <c r="B10" s="77">
        <v>170</v>
      </c>
      <c r="C10" s="77">
        <v>181</v>
      </c>
      <c r="D10" s="77">
        <v>197</v>
      </c>
      <c r="E10" s="77">
        <v>218</v>
      </c>
      <c r="F10" s="77">
        <v>238</v>
      </c>
    </row>
    <row r="11" spans="1:9" ht="21" customHeight="1">
      <c r="A11" s="536" t="s">
        <v>951</v>
      </c>
      <c r="B11" s="77">
        <v>172</v>
      </c>
      <c r="C11" s="77">
        <v>183</v>
      </c>
      <c r="D11" s="77">
        <v>200</v>
      </c>
      <c r="E11" s="77">
        <v>220</v>
      </c>
      <c r="F11" s="77">
        <v>240</v>
      </c>
    </row>
    <row r="12" spans="1:9" ht="21" customHeight="1">
      <c r="A12" s="536" t="s">
        <v>952</v>
      </c>
      <c r="B12" s="77">
        <v>175</v>
      </c>
      <c r="C12" s="77">
        <v>186</v>
      </c>
      <c r="D12" s="77">
        <v>202</v>
      </c>
      <c r="E12" s="77">
        <v>222</v>
      </c>
      <c r="F12" s="77">
        <v>242</v>
      </c>
    </row>
    <row r="13" spans="1:9" ht="21" customHeight="1">
      <c r="A13" s="536" t="s">
        <v>953</v>
      </c>
      <c r="B13" s="77">
        <v>175</v>
      </c>
      <c r="C13" s="77">
        <v>192</v>
      </c>
      <c r="D13" s="77">
        <v>202</v>
      </c>
      <c r="E13" s="77">
        <v>228</v>
      </c>
      <c r="F13" s="77">
        <v>244</v>
      </c>
    </row>
    <row r="14" spans="1:9" ht="21" customHeight="1">
      <c r="A14" s="536" t="s">
        <v>954</v>
      </c>
      <c r="B14" s="77">
        <v>176</v>
      </c>
      <c r="C14" s="77">
        <v>193</v>
      </c>
      <c r="D14" s="77">
        <v>205</v>
      </c>
      <c r="E14" s="77">
        <v>230</v>
      </c>
      <c r="F14" s="77">
        <v>243</v>
      </c>
    </row>
    <row r="15" spans="1:9" ht="21" customHeight="1">
      <c r="A15" s="536" t="s">
        <v>955</v>
      </c>
      <c r="B15" s="77">
        <v>177</v>
      </c>
      <c r="C15" s="77">
        <v>191</v>
      </c>
      <c r="D15" s="77">
        <v>207</v>
      </c>
      <c r="E15" s="77">
        <v>236</v>
      </c>
      <c r="F15" s="77">
        <v>246</v>
      </c>
    </row>
    <row r="16" spans="1:9" ht="21" customHeight="1">
      <c r="A16" s="536" t="s">
        <v>956</v>
      </c>
      <c r="B16" s="77">
        <v>177</v>
      </c>
      <c r="C16" s="77">
        <v>189</v>
      </c>
      <c r="D16" s="77">
        <v>210</v>
      </c>
      <c r="E16" s="77">
        <v>238</v>
      </c>
      <c r="F16" s="77">
        <v>242</v>
      </c>
    </row>
    <row r="17" spans="1:7" ht="21" customHeight="1">
      <c r="A17" s="536" t="s">
        <v>957</v>
      </c>
      <c r="B17" s="77">
        <v>180</v>
      </c>
      <c r="C17" s="77">
        <v>185</v>
      </c>
      <c r="D17" s="77">
        <v>209</v>
      </c>
      <c r="E17" s="77">
        <v>233</v>
      </c>
      <c r="F17" s="77">
        <v>243</v>
      </c>
    </row>
    <row r="18" spans="1:7" ht="20.25" customHeight="1">
      <c r="A18" s="1273" t="s">
        <v>20</v>
      </c>
      <c r="B18" s="1274">
        <f>IF(SUM(B6:B17)=0,0,AVERAGE(B6:B17))</f>
        <v>172.41666666666666</v>
      </c>
      <c r="C18" s="1274">
        <f>IF(SUM(C6:C17)=0,0,AVERAGE(C6:C17))</f>
        <v>184.66666666666666</v>
      </c>
      <c r="D18" s="1274">
        <f>IF(SUM(D6:D17)=0,0,AVERAGE(D6:D17))</f>
        <v>199</v>
      </c>
      <c r="E18" s="1274">
        <f>IF(SUM(E6:E17)=0,0,AVERAGE(E6:E17))</f>
        <v>222.16666666666666</v>
      </c>
      <c r="F18" s="1274">
        <f>IF(SUM(F6:F17)=0,0,AVERAGE(F6:F17))</f>
        <v>238.83333333333334</v>
      </c>
    </row>
    <row r="19" spans="1:7">
      <c r="D19" s="92"/>
      <c r="F19" s="1134" t="s">
        <v>804</v>
      </c>
    </row>
    <row r="20" spans="1:7">
      <c r="C20" s="8"/>
      <c r="E20" s="115"/>
      <c r="F20" s="115"/>
      <c r="G20" s="8"/>
    </row>
    <row r="21" spans="1:7">
      <c r="C21" s="8"/>
      <c r="E21" s="614"/>
      <c r="F21" s="614"/>
      <c r="G21" s="8"/>
    </row>
    <row r="22" spans="1:7">
      <c r="A22" s="1708" t="s">
        <v>802</v>
      </c>
      <c r="B22" s="1708"/>
      <c r="C22" s="1708"/>
      <c r="D22" s="1708"/>
      <c r="E22" s="1708"/>
      <c r="F22" s="1708"/>
    </row>
    <row r="23" spans="1:7" ht="36.75" customHeight="1">
      <c r="A23" s="1766" t="s">
        <v>1505</v>
      </c>
      <c r="B23" s="1766"/>
      <c r="C23" s="1766"/>
      <c r="D23" s="1766"/>
      <c r="E23" s="1766"/>
      <c r="F23" s="1766"/>
    </row>
    <row r="24" spans="1:7" ht="13.5" customHeight="1">
      <c r="B24" s="7"/>
      <c r="F24" s="92" t="s">
        <v>977</v>
      </c>
    </row>
    <row r="25" spans="1:7" ht="36.75" customHeight="1">
      <c r="A25" s="2189" t="s">
        <v>926</v>
      </c>
      <c r="B25" s="2190"/>
      <c r="C25" s="2158" t="s">
        <v>1373</v>
      </c>
      <c r="D25" s="2169"/>
      <c r="E25" s="2191" t="s">
        <v>21</v>
      </c>
      <c r="F25" s="2169"/>
    </row>
    <row r="26" spans="1:7" ht="16.5" customHeight="1">
      <c r="A26" s="2185" t="s">
        <v>928</v>
      </c>
      <c r="B26" s="2186"/>
      <c r="C26" s="1716" t="s">
        <v>929</v>
      </c>
      <c r="D26" s="1797"/>
      <c r="E26" s="1716" t="s">
        <v>930</v>
      </c>
      <c r="F26" s="1797"/>
    </row>
    <row r="27" spans="1:7" ht="27" customHeight="1">
      <c r="A27" s="2183" t="s">
        <v>1875</v>
      </c>
      <c r="B27" s="2184"/>
      <c r="C27" s="2040">
        <v>619</v>
      </c>
      <c r="D27" s="1963"/>
      <c r="E27" s="2040">
        <v>1435</v>
      </c>
      <c r="F27" s="1963"/>
    </row>
    <row r="28" spans="1:7" ht="27" customHeight="1">
      <c r="A28" s="2181" t="s">
        <v>1876</v>
      </c>
      <c r="B28" s="2182"/>
      <c r="C28" s="1791">
        <v>619</v>
      </c>
      <c r="D28" s="2039"/>
      <c r="E28" s="1791">
        <v>1435</v>
      </c>
      <c r="F28" s="2039"/>
    </row>
    <row r="29" spans="1:7" ht="27" customHeight="1">
      <c r="A29" s="2181" t="s">
        <v>1877</v>
      </c>
      <c r="B29" s="2182"/>
      <c r="C29" s="1791">
        <v>619</v>
      </c>
      <c r="D29" s="2039"/>
      <c r="E29" s="1791">
        <v>1439</v>
      </c>
      <c r="F29" s="2039"/>
    </row>
    <row r="30" spans="1:7" ht="27" customHeight="1">
      <c r="A30" s="2181" t="s">
        <v>1878</v>
      </c>
      <c r="B30" s="2182"/>
      <c r="C30" s="1791">
        <v>640</v>
      </c>
      <c r="D30" s="2039"/>
      <c r="E30" s="1791">
        <v>1439</v>
      </c>
      <c r="F30" s="2039"/>
    </row>
    <row r="31" spans="1:7" ht="27" customHeight="1">
      <c r="A31" s="2179" t="s">
        <v>1879</v>
      </c>
      <c r="B31" s="2180"/>
      <c r="C31" s="1806" t="s">
        <v>1229</v>
      </c>
      <c r="D31" s="1964"/>
      <c r="E31" s="1806">
        <v>1445</v>
      </c>
      <c r="F31" s="1964"/>
    </row>
    <row r="32" spans="1:7">
      <c r="A32" s="1546"/>
      <c r="B32" s="1619"/>
      <c r="D32" s="1008" t="s">
        <v>610</v>
      </c>
      <c r="E32" s="1009" t="s">
        <v>1536</v>
      </c>
      <c r="F32" s="98"/>
    </row>
    <row r="33" spans="1:7">
      <c r="A33" s="1011"/>
      <c r="B33" s="1011"/>
      <c r="D33" s="1008" t="s">
        <v>615</v>
      </c>
      <c r="E33" s="1009" t="s">
        <v>790</v>
      </c>
      <c r="F33" s="98"/>
    </row>
    <row r="34" spans="1:7">
      <c r="D34" s="1009"/>
      <c r="E34" s="1009" t="s">
        <v>791</v>
      </c>
      <c r="F34" s="98"/>
    </row>
    <row r="35" spans="1:7">
      <c r="D35" s="1009"/>
      <c r="E35" s="1009" t="s">
        <v>487</v>
      </c>
      <c r="F35" s="98"/>
    </row>
    <row r="39" spans="1:7">
      <c r="A39" s="1"/>
      <c r="B39" s="1"/>
      <c r="C39" s="1"/>
      <c r="D39" s="1"/>
      <c r="E39" s="1"/>
      <c r="F39" s="1"/>
      <c r="G39" s="1"/>
    </row>
  </sheetData>
  <mergeCells count="26">
    <mergeCell ref="A1:F1"/>
    <mergeCell ref="A22:F22"/>
    <mergeCell ref="E26:F26"/>
    <mergeCell ref="A26:B26"/>
    <mergeCell ref="C26:D26"/>
    <mergeCell ref="A2:F2"/>
    <mergeCell ref="A3:B3"/>
    <mergeCell ref="A25:B25"/>
    <mergeCell ref="C25:D25"/>
    <mergeCell ref="A23:F23"/>
    <mergeCell ref="E25:F25"/>
    <mergeCell ref="A31:B31"/>
    <mergeCell ref="C31:D31"/>
    <mergeCell ref="E31:F31"/>
    <mergeCell ref="C27:D27"/>
    <mergeCell ref="A30:B30"/>
    <mergeCell ref="E27:F27"/>
    <mergeCell ref="E28:F28"/>
    <mergeCell ref="E29:F29"/>
    <mergeCell ref="E30:F30"/>
    <mergeCell ref="C30:D30"/>
    <mergeCell ref="A27:B27"/>
    <mergeCell ref="A28:B28"/>
    <mergeCell ref="A29:B29"/>
    <mergeCell ref="C28:D28"/>
    <mergeCell ref="C29:D29"/>
  </mergeCells>
  <phoneticPr fontId="0" type="noConversion"/>
  <printOptions horizontalCentered="1"/>
  <pageMargins left="0.1" right="0.1" top="0.75" bottom="0.1" header="0.7" footer="0.1"/>
  <pageSetup paperSize="9" orientation="portrait" blackAndWhite="1" r:id="rId1"/>
  <headerFooter alignWithMargins="0"/>
</worksheet>
</file>

<file path=xl/worksheets/sheet67.xml><?xml version="1.0" encoding="utf-8"?>
<worksheet xmlns="http://schemas.openxmlformats.org/spreadsheetml/2006/main" xmlns:r="http://schemas.openxmlformats.org/officeDocument/2006/relationships">
  <dimension ref="A1:O26"/>
  <sheetViews>
    <sheetView topLeftCell="A13" workbookViewId="0">
      <selection activeCell="J11" sqref="J11"/>
    </sheetView>
  </sheetViews>
  <sheetFormatPr defaultRowHeight="12.75"/>
  <cols>
    <col min="1" max="1" width="14" customWidth="1"/>
    <col min="2" max="13" width="9.42578125" customWidth="1"/>
  </cols>
  <sheetData>
    <row r="1" spans="1:15">
      <c r="A1" s="1708" t="s">
        <v>1331</v>
      </c>
      <c r="B1" s="1708"/>
      <c r="C1" s="1708"/>
      <c r="D1" s="1708"/>
      <c r="E1" s="1708"/>
      <c r="F1" s="1708"/>
      <c r="G1" s="1708"/>
      <c r="H1" s="1708"/>
      <c r="I1" s="1708"/>
      <c r="J1" s="1708"/>
      <c r="K1" s="1708"/>
      <c r="L1" s="1708"/>
      <c r="M1" s="1708"/>
    </row>
    <row r="2" spans="1:15" ht="33.75" customHeight="1">
      <c r="A2" s="1949" t="str">
        <f>CONCATENATE("Length of Roads maintained by P.W.D., Zilla Parishad and Panchayat 
in the district of ",District!$A$1)</f>
        <v>Length of Roads maintained by P.W.D., Zilla Parishad and Panchayat 
in the district of South 24-Parganas</v>
      </c>
      <c r="B2" s="1949"/>
      <c r="C2" s="1949"/>
      <c r="D2" s="1949"/>
      <c r="E2" s="1949"/>
      <c r="F2" s="1949"/>
      <c r="G2" s="1949"/>
      <c r="H2" s="1949"/>
      <c r="I2" s="1949"/>
      <c r="J2" s="1949"/>
      <c r="K2" s="1949"/>
      <c r="L2" s="1949"/>
      <c r="M2" s="1949"/>
    </row>
    <row r="3" spans="1:15" ht="14.25" customHeight="1">
      <c r="A3" s="7"/>
      <c r="B3" s="7"/>
      <c r="C3" s="7"/>
      <c r="D3" s="7"/>
      <c r="E3" s="7"/>
      <c r="F3" s="7"/>
      <c r="G3" s="7"/>
      <c r="H3" s="7"/>
      <c r="I3" s="113"/>
      <c r="M3" s="113" t="s">
        <v>22</v>
      </c>
    </row>
    <row r="4" spans="1:15" ht="26.25" customHeight="1">
      <c r="A4" s="1721" t="s">
        <v>671</v>
      </c>
      <c r="B4" s="1728" t="s">
        <v>23</v>
      </c>
      <c r="C4" s="2199"/>
      <c r="D4" s="1729"/>
      <c r="E4" s="1728" t="s">
        <v>26</v>
      </c>
      <c r="F4" s="2199"/>
      <c r="G4" s="1729"/>
      <c r="H4" s="2200" t="s">
        <v>324</v>
      </c>
      <c r="I4" s="2200"/>
      <c r="J4" s="2201"/>
      <c r="K4" s="2200" t="s">
        <v>1007</v>
      </c>
      <c r="L4" s="2200"/>
      <c r="M4" s="2201"/>
    </row>
    <row r="5" spans="1:15" ht="24.95" customHeight="1">
      <c r="A5" s="1722"/>
      <c r="B5" s="1025" t="s">
        <v>915</v>
      </c>
      <c r="C5" s="1026" t="s">
        <v>271</v>
      </c>
      <c r="D5" s="1027" t="s">
        <v>958</v>
      </c>
      <c r="E5" s="1025" t="s">
        <v>915</v>
      </c>
      <c r="F5" s="1026" t="s">
        <v>271</v>
      </c>
      <c r="G5" s="1027" t="s">
        <v>958</v>
      </c>
      <c r="H5" s="1025" t="s">
        <v>915</v>
      </c>
      <c r="I5" s="1026" t="s">
        <v>271</v>
      </c>
      <c r="J5" s="1027" t="s">
        <v>958</v>
      </c>
      <c r="K5" s="1025" t="s">
        <v>915</v>
      </c>
      <c r="L5" s="1026" t="s">
        <v>271</v>
      </c>
      <c r="M5" s="1027" t="s">
        <v>958</v>
      </c>
    </row>
    <row r="6" spans="1:15" ht="24.95" customHeight="1">
      <c r="A6" s="121" t="s">
        <v>928</v>
      </c>
      <c r="B6" s="199" t="s">
        <v>929</v>
      </c>
      <c r="C6" s="199" t="s">
        <v>930</v>
      </c>
      <c r="D6" s="199" t="s">
        <v>931</v>
      </c>
      <c r="E6" s="196" t="s">
        <v>932</v>
      </c>
      <c r="F6" s="196" t="s">
        <v>933</v>
      </c>
      <c r="G6" s="196" t="s">
        <v>934</v>
      </c>
      <c r="H6" s="196" t="s">
        <v>959</v>
      </c>
      <c r="I6" s="196" t="s">
        <v>960</v>
      </c>
      <c r="J6" s="196" t="s">
        <v>961</v>
      </c>
      <c r="K6" s="196" t="s">
        <v>962</v>
      </c>
      <c r="L6" s="196" t="s">
        <v>1037</v>
      </c>
      <c r="M6" s="196" t="s">
        <v>1038</v>
      </c>
    </row>
    <row r="7" spans="1:15" ht="24.95" customHeight="1">
      <c r="A7" s="901" t="s">
        <v>1317</v>
      </c>
      <c r="B7" s="905">
        <v>1248</v>
      </c>
      <c r="C7" s="905">
        <v>12</v>
      </c>
      <c r="D7" s="906">
        <f>B7+C7</f>
        <v>1260</v>
      </c>
      <c r="E7" s="905">
        <v>5550.25</v>
      </c>
      <c r="F7" s="905">
        <v>13050.67</v>
      </c>
      <c r="G7" s="905">
        <f>E7+F7</f>
        <v>18600.919999999998</v>
      </c>
      <c r="H7" s="905">
        <v>4958.8</v>
      </c>
      <c r="I7" s="905">
        <v>7217.97</v>
      </c>
      <c r="J7" s="905">
        <f>H7+I7</f>
        <v>12176.77</v>
      </c>
      <c r="K7" s="905">
        <v>607.11</v>
      </c>
      <c r="L7" s="907" t="s">
        <v>1229</v>
      </c>
      <c r="M7" s="905">
        <f>SUM(K7,L7)</f>
        <v>607.11</v>
      </c>
    </row>
    <row r="8" spans="1:15" ht="24.95" customHeight="1">
      <c r="A8" s="902" t="s">
        <v>221</v>
      </c>
      <c r="B8" s="754">
        <v>1249</v>
      </c>
      <c r="C8" s="754">
        <v>13</v>
      </c>
      <c r="D8" s="371">
        <f>B8+C8</f>
        <v>1262</v>
      </c>
      <c r="E8" s="754">
        <v>5615.66</v>
      </c>
      <c r="F8" s="754">
        <v>13050.67</v>
      </c>
      <c r="G8" s="754">
        <f>E8+F8</f>
        <v>18666.330000000002</v>
      </c>
      <c r="H8" s="754">
        <v>5170.41</v>
      </c>
      <c r="I8" s="754">
        <v>7338.89</v>
      </c>
      <c r="J8" s="754">
        <f>H8+I8</f>
        <v>12509.3</v>
      </c>
      <c r="K8" s="754">
        <v>632.51</v>
      </c>
      <c r="L8" s="639" t="s">
        <v>1229</v>
      </c>
      <c r="M8" s="754">
        <f>SUM(K8,L8)</f>
        <v>632.51</v>
      </c>
    </row>
    <row r="9" spans="1:15" ht="24.95" customHeight="1">
      <c r="A9" s="902" t="s">
        <v>1301</v>
      </c>
      <c r="B9" s="754">
        <v>1307</v>
      </c>
      <c r="C9" s="1325" t="s">
        <v>1229</v>
      </c>
      <c r="D9" s="371">
        <f>SUM(B9,C9)</f>
        <v>1307</v>
      </c>
      <c r="E9" s="754">
        <v>5635.68</v>
      </c>
      <c r="F9" s="754">
        <v>13050.67</v>
      </c>
      <c r="G9" s="754">
        <f>E9+F9</f>
        <v>18686.349999999999</v>
      </c>
      <c r="H9" s="754">
        <v>5710.16</v>
      </c>
      <c r="I9" s="754">
        <v>6929.62</v>
      </c>
      <c r="J9" s="754">
        <f>H9+I9</f>
        <v>12639.779999999999</v>
      </c>
      <c r="K9" s="754">
        <v>537.63</v>
      </c>
      <c r="L9" s="639" t="s">
        <v>1229</v>
      </c>
      <c r="M9" s="754">
        <v>537.63</v>
      </c>
    </row>
    <row r="10" spans="1:15" ht="24.95" customHeight="1">
      <c r="A10" s="902" t="s">
        <v>621</v>
      </c>
      <c r="B10" s="754" t="s">
        <v>857</v>
      </c>
      <c r="C10" s="754" t="s">
        <v>857</v>
      </c>
      <c r="D10" s="371" t="s">
        <v>857</v>
      </c>
      <c r="E10" s="754">
        <v>5693.28</v>
      </c>
      <c r="F10" s="754">
        <v>13050.77</v>
      </c>
      <c r="G10" s="754">
        <f>E10+F10</f>
        <v>18744.05</v>
      </c>
      <c r="H10" s="754">
        <v>6316.62</v>
      </c>
      <c r="I10" s="754">
        <v>6283.31</v>
      </c>
      <c r="J10" s="754">
        <f>H10+I10</f>
        <v>12599.93</v>
      </c>
      <c r="K10" s="754">
        <v>597.83000000000004</v>
      </c>
      <c r="L10" s="639" t="s">
        <v>1229</v>
      </c>
      <c r="M10" s="754">
        <f>SUM(K10,L10)</f>
        <v>597.83000000000004</v>
      </c>
    </row>
    <row r="11" spans="1:15" ht="24.95" customHeight="1">
      <c r="A11" s="903" t="s">
        <v>206</v>
      </c>
      <c r="B11" s="755">
        <v>1185</v>
      </c>
      <c r="C11" s="755" t="s">
        <v>857</v>
      </c>
      <c r="D11" s="755">
        <v>1185</v>
      </c>
      <c r="E11" s="755">
        <v>5911.18</v>
      </c>
      <c r="F11" s="755">
        <v>13050.77</v>
      </c>
      <c r="G11" s="755">
        <f>E11+F11</f>
        <v>18961.95</v>
      </c>
      <c r="H11" s="755">
        <v>7342.93</v>
      </c>
      <c r="I11" s="755">
        <v>6536.33</v>
      </c>
      <c r="J11" s="755">
        <f>H11+I11</f>
        <v>13879.26</v>
      </c>
      <c r="K11" s="755">
        <v>753.67</v>
      </c>
      <c r="L11" s="759" t="s">
        <v>1229</v>
      </c>
      <c r="M11" s="755">
        <f>SUM(K11,L11)</f>
        <v>753.67</v>
      </c>
      <c r="O11" s="18"/>
    </row>
    <row r="12" spans="1:15" ht="12.75" customHeight="1">
      <c r="I12" s="1008" t="s">
        <v>610</v>
      </c>
      <c r="J12" s="2202" t="s">
        <v>1881</v>
      </c>
      <c r="K12" s="2202"/>
      <c r="L12" s="2202"/>
      <c r="M12" s="2202"/>
    </row>
    <row r="13" spans="1:15">
      <c r="D13" s="98"/>
      <c r="J13" s="2203"/>
      <c r="K13" s="2203"/>
      <c r="L13" s="2203"/>
      <c r="M13" s="2203"/>
    </row>
    <row r="14" spans="1:15">
      <c r="D14" s="98"/>
      <c r="F14" s="103"/>
      <c r="G14" s="103"/>
      <c r="H14" s="103"/>
      <c r="I14" s="1008" t="s">
        <v>615</v>
      </c>
      <c r="J14" s="1138" t="s">
        <v>1418</v>
      </c>
    </row>
    <row r="15" spans="1:15">
      <c r="A15" s="1928" t="s">
        <v>1332</v>
      </c>
      <c r="B15" s="1928"/>
      <c r="C15" s="1928"/>
      <c r="D15" s="1928"/>
      <c r="E15" s="1928"/>
      <c r="F15" s="1928"/>
      <c r="G15" s="1928"/>
      <c r="H15" s="1928"/>
      <c r="I15" s="1928"/>
      <c r="J15" s="1928"/>
      <c r="K15" s="1928"/>
      <c r="L15" s="1928"/>
      <c r="M15" s="1928"/>
    </row>
    <row r="16" spans="1:15" ht="18.75" customHeight="1">
      <c r="A16" s="1736" t="str">
        <f>CONCATENATE("Length of different classes of Roads maintained by P.W.D. in the district of ",District!$A$1)</f>
        <v>Length of different classes of Roads maintained by P.W.D. in the district of South 24-Parganas</v>
      </c>
      <c r="B16" s="1736"/>
      <c r="C16" s="1736"/>
      <c r="D16" s="1736"/>
      <c r="E16" s="1736"/>
      <c r="F16" s="1736"/>
      <c r="G16" s="1736"/>
      <c r="H16" s="1736"/>
      <c r="I16" s="1736"/>
      <c r="J16" s="1736"/>
      <c r="K16" s="1736"/>
      <c r="L16" s="1736"/>
      <c r="M16" s="1736"/>
    </row>
    <row r="17" spans="1:13" ht="15" customHeight="1">
      <c r="M17" s="107" t="s">
        <v>22</v>
      </c>
    </row>
    <row r="18" spans="1:13" ht="18.75" customHeight="1">
      <c r="A18" s="735" t="s">
        <v>671</v>
      </c>
      <c r="B18" s="2195" t="s">
        <v>27</v>
      </c>
      <c r="C18" s="2196"/>
      <c r="D18" s="2197"/>
      <c r="E18" s="2193" t="s">
        <v>28</v>
      </c>
      <c r="F18" s="2194"/>
      <c r="G18" s="2193" t="s">
        <v>29</v>
      </c>
      <c r="H18" s="2194"/>
      <c r="I18" s="2193" t="s">
        <v>30</v>
      </c>
      <c r="J18" s="2194"/>
      <c r="K18" s="2193" t="s">
        <v>958</v>
      </c>
      <c r="L18" s="2204"/>
      <c r="M18" s="2194"/>
    </row>
    <row r="19" spans="1:13" ht="17.25" customHeight="1">
      <c r="A19" s="118" t="s">
        <v>928</v>
      </c>
      <c r="B19" s="1716" t="s">
        <v>929</v>
      </c>
      <c r="C19" s="1717"/>
      <c r="D19" s="1797"/>
      <c r="E19" s="1716" t="s">
        <v>930</v>
      </c>
      <c r="F19" s="1797"/>
      <c r="G19" s="1716" t="s">
        <v>931</v>
      </c>
      <c r="H19" s="1797"/>
      <c r="I19" s="1716" t="s">
        <v>932</v>
      </c>
      <c r="J19" s="1797"/>
      <c r="K19" s="1716" t="s">
        <v>933</v>
      </c>
      <c r="L19" s="1717"/>
      <c r="M19" s="1797"/>
    </row>
    <row r="20" spans="1:13" ht="24.75" customHeight="1">
      <c r="A20" s="299" t="s">
        <v>1317</v>
      </c>
      <c r="B20" s="2023" t="s">
        <v>857</v>
      </c>
      <c r="C20" s="2192"/>
      <c r="D20" s="2024"/>
      <c r="E20" s="2023" t="s">
        <v>857</v>
      </c>
      <c r="F20" s="2024"/>
      <c r="G20" s="2023" t="s">
        <v>857</v>
      </c>
      <c r="H20" s="2024"/>
      <c r="I20" s="2023" t="s">
        <v>857</v>
      </c>
      <c r="J20" s="2024"/>
      <c r="K20" s="2023">
        <f>VLOOKUP(A20,$A$7:$B$11,2,FALSE)</f>
        <v>1248</v>
      </c>
      <c r="L20" s="2192"/>
      <c r="M20" s="2024"/>
    </row>
    <row r="21" spans="1:13" ht="24.75" customHeight="1">
      <c r="A21" s="299" t="s">
        <v>221</v>
      </c>
      <c r="B21" s="2020" t="s">
        <v>857</v>
      </c>
      <c r="C21" s="2110"/>
      <c r="D21" s="2021"/>
      <c r="E21" s="2020" t="s">
        <v>857</v>
      </c>
      <c r="F21" s="2021"/>
      <c r="G21" s="2020" t="s">
        <v>857</v>
      </c>
      <c r="H21" s="2021"/>
      <c r="I21" s="2020" t="s">
        <v>857</v>
      </c>
      <c r="J21" s="2021"/>
      <c r="K21" s="2020">
        <f>VLOOKUP(A21,$A$7:$B$11,2,FALSE)</f>
        <v>1249</v>
      </c>
      <c r="L21" s="2110"/>
      <c r="M21" s="2021"/>
    </row>
    <row r="22" spans="1:13" ht="24.75" customHeight="1">
      <c r="A22" s="299" t="s">
        <v>1301</v>
      </c>
      <c r="B22" s="2020" t="s">
        <v>857</v>
      </c>
      <c r="C22" s="2110"/>
      <c r="D22" s="2021"/>
      <c r="E22" s="2020" t="s">
        <v>857</v>
      </c>
      <c r="F22" s="2021"/>
      <c r="G22" s="2020" t="s">
        <v>857</v>
      </c>
      <c r="H22" s="2021"/>
      <c r="I22" s="2020" t="s">
        <v>857</v>
      </c>
      <c r="J22" s="2021"/>
      <c r="K22" s="2020">
        <f>VLOOKUP(A22,$A$7:$B$11,2,FALSE)</f>
        <v>1307</v>
      </c>
      <c r="L22" s="2110"/>
      <c r="M22" s="2021"/>
    </row>
    <row r="23" spans="1:13" ht="24.75" customHeight="1">
      <c r="A23" s="299" t="s">
        <v>621</v>
      </c>
      <c r="B23" s="2020" t="s">
        <v>857</v>
      </c>
      <c r="C23" s="2110"/>
      <c r="D23" s="2021"/>
      <c r="E23" s="2020" t="s">
        <v>857</v>
      </c>
      <c r="F23" s="2021"/>
      <c r="G23" s="2020" t="s">
        <v>857</v>
      </c>
      <c r="H23" s="2021"/>
      <c r="I23" s="2020" t="s">
        <v>857</v>
      </c>
      <c r="J23" s="2021"/>
      <c r="K23" s="2020" t="str">
        <f>VLOOKUP(A23,$A$7:$B$11,2,FALSE)</f>
        <v>..</v>
      </c>
      <c r="L23" s="2110"/>
      <c r="M23" s="2021"/>
    </row>
    <row r="24" spans="1:13" ht="24.75" customHeight="1">
      <c r="A24" s="300" t="s">
        <v>206</v>
      </c>
      <c r="B24" s="2022">
        <v>114.92</v>
      </c>
      <c r="C24" s="2017"/>
      <c r="D24" s="2018"/>
      <c r="E24" s="2022">
        <v>126.9</v>
      </c>
      <c r="F24" s="2018"/>
      <c r="G24" s="2022">
        <v>905.35</v>
      </c>
      <c r="H24" s="2018"/>
      <c r="I24" s="2022">
        <v>37.36</v>
      </c>
      <c r="J24" s="2018"/>
      <c r="K24" s="2198">
        <v>1184.53</v>
      </c>
      <c r="L24" s="2017"/>
      <c r="M24" s="2018"/>
    </row>
    <row r="25" spans="1:13">
      <c r="I25" s="92"/>
      <c r="M25" s="1623" t="s">
        <v>1880</v>
      </c>
    </row>
    <row r="26" spans="1:13">
      <c r="H26" s="576"/>
      <c r="I26" s="576"/>
      <c r="J26" s="576"/>
    </row>
  </sheetData>
  <mergeCells count="45">
    <mergeCell ref="J12:M13"/>
    <mergeCell ref="G24:H24"/>
    <mergeCell ref="B22:D22"/>
    <mergeCell ref="B23:D23"/>
    <mergeCell ref="B24:D24"/>
    <mergeCell ref="G22:H22"/>
    <mergeCell ref="G23:H23"/>
    <mergeCell ref="E22:F22"/>
    <mergeCell ref="E23:F23"/>
    <mergeCell ref="E24:F24"/>
    <mergeCell ref="I21:J21"/>
    <mergeCell ref="K18:M18"/>
    <mergeCell ref="K19:M19"/>
    <mergeCell ref="B20:D20"/>
    <mergeCell ref="B21:D21"/>
    <mergeCell ref="G20:H20"/>
    <mergeCell ref="A1:M1"/>
    <mergeCell ref="B4:D4"/>
    <mergeCell ref="E4:G4"/>
    <mergeCell ref="H4:J4"/>
    <mergeCell ref="A4:A5"/>
    <mergeCell ref="K4:M4"/>
    <mergeCell ref="A2:M2"/>
    <mergeCell ref="K24:M24"/>
    <mergeCell ref="I22:J22"/>
    <mergeCell ref="I23:J23"/>
    <mergeCell ref="I24:J24"/>
    <mergeCell ref="K22:M22"/>
    <mergeCell ref="K23:M23"/>
    <mergeCell ref="A15:M15"/>
    <mergeCell ref="A16:M16"/>
    <mergeCell ref="K20:M20"/>
    <mergeCell ref="I18:J18"/>
    <mergeCell ref="K21:M21"/>
    <mergeCell ref="I19:J19"/>
    <mergeCell ref="E20:F20"/>
    <mergeCell ref="E21:F21"/>
    <mergeCell ref="B18:D18"/>
    <mergeCell ref="B19:D19"/>
    <mergeCell ref="I20:J20"/>
    <mergeCell ref="G21:H21"/>
    <mergeCell ref="G18:H18"/>
    <mergeCell ref="G19:H19"/>
    <mergeCell ref="E18:F18"/>
    <mergeCell ref="E19:F19"/>
  </mergeCells>
  <phoneticPr fontId="0" type="noConversion"/>
  <conditionalFormatting sqref="H25:H65536 F25:F65536 C25:D65536 N1:IV1048576 K20:K24 I20:I65536 A20:B65536 E20:E65536 G20:G65536 A1:H19 J25:M65536 I1:J12 K1:M11 I14:M19">
    <cfRule type="cellIs" dxfId="7" priority="3" stopIfTrue="1" operator="equal">
      <formula>".."</formula>
    </cfRule>
  </conditionalFormatting>
  <conditionalFormatting sqref="J12">
    <cfRule type="cellIs" dxfId="6" priority="1" stopIfTrue="1" operator="equal">
      <formula>".."</formula>
    </cfRule>
  </conditionalFormatting>
  <printOptions horizontalCentered="1"/>
  <pageMargins left="0.1" right="0.1" top="0.5" bottom="0.1" header="0.5" footer="0.1"/>
  <pageSetup paperSize="9" orientation="landscape" blackAndWhite="1" r:id="rId1"/>
  <headerFooter alignWithMargins="0"/>
</worksheet>
</file>

<file path=xl/worksheets/sheet68.xml><?xml version="1.0" encoding="utf-8"?>
<worksheet xmlns="http://schemas.openxmlformats.org/spreadsheetml/2006/main" xmlns:r="http://schemas.openxmlformats.org/officeDocument/2006/relationships">
  <dimension ref="A1:K33"/>
  <sheetViews>
    <sheetView topLeftCell="A22" workbookViewId="0">
      <selection activeCell="J11" sqref="J11"/>
    </sheetView>
  </sheetViews>
  <sheetFormatPr defaultRowHeight="12.75"/>
  <cols>
    <col min="1" max="1" width="14.42578125" customWidth="1"/>
    <col min="2" max="11" width="10.140625" customWidth="1"/>
  </cols>
  <sheetData>
    <row r="1" spans="1:11">
      <c r="A1" s="1899" t="s">
        <v>810</v>
      </c>
      <c r="B1" s="1899"/>
      <c r="C1" s="1899"/>
      <c r="D1" s="1899"/>
      <c r="E1" s="1899"/>
      <c r="F1" s="1899"/>
      <c r="G1" s="1899"/>
      <c r="H1" s="1899"/>
      <c r="I1" s="1899"/>
      <c r="J1" s="1899"/>
      <c r="K1" s="1899"/>
    </row>
    <row r="2" spans="1:11" ht="15" customHeight="1">
      <c r="A2" s="1715" t="str">
        <f>CONCATENATE("Length of Roads maintained by Municipalities  in the district of ",District!$A$1)</f>
        <v>Length of Roads maintained by Municipalities  in the district of South 24-Parganas</v>
      </c>
      <c r="B2" s="1715"/>
      <c r="C2" s="1715"/>
      <c r="D2" s="1715"/>
      <c r="E2" s="1715"/>
      <c r="F2" s="1715"/>
      <c r="G2" s="1715"/>
      <c r="H2" s="1715"/>
      <c r="I2" s="1715"/>
      <c r="J2" s="1715"/>
      <c r="K2" s="1715"/>
    </row>
    <row r="3" spans="1:11" ht="11.25" customHeight="1">
      <c r="K3" s="94" t="s">
        <v>22</v>
      </c>
    </row>
    <row r="4" spans="1:11" ht="15" customHeight="1">
      <c r="A4" s="2143" t="s">
        <v>1202</v>
      </c>
      <c r="B4" s="2144"/>
      <c r="C4" s="2218" t="s">
        <v>915</v>
      </c>
      <c r="D4" s="2219"/>
      <c r="E4" s="2220"/>
      <c r="F4" s="1772" t="s">
        <v>916</v>
      </c>
      <c r="G4" s="1775"/>
      <c r="H4" s="1774"/>
      <c r="I4" s="2171" t="s">
        <v>958</v>
      </c>
      <c r="J4" s="2172"/>
      <c r="K4" s="2173"/>
    </row>
    <row r="5" spans="1:11" ht="15" customHeight="1">
      <c r="A5" s="1716" t="s">
        <v>928</v>
      </c>
      <c r="B5" s="1797"/>
      <c r="C5" s="1716" t="s">
        <v>929</v>
      </c>
      <c r="D5" s="1717"/>
      <c r="E5" s="1797"/>
      <c r="F5" s="1716" t="s">
        <v>930</v>
      </c>
      <c r="G5" s="1717"/>
      <c r="H5" s="1797"/>
      <c r="I5" s="1716" t="s">
        <v>931</v>
      </c>
      <c r="J5" s="1717"/>
      <c r="K5" s="1797"/>
    </row>
    <row r="6" spans="1:11" ht="18" customHeight="1">
      <c r="A6" s="2158" t="s">
        <v>1317</v>
      </c>
      <c r="B6" s="2169"/>
      <c r="C6" s="2020">
        <v>1439.04</v>
      </c>
      <c r="D6" s="2110"/>
      <c r="E6" s="2021"/>
      <c r="F6" s="2020">
        <v>482.9</v>
      </c>
      <c r="G6" s="2110"/>
      <c r="H6" s="2021"/>
      <c r="I6" s="2023">
        <f>SUM(C6,F6)</f>
        <v>1921.94</v>
      </c>
      <c r="J6" s="2192"/>
      <c r="K6" s="2024"/>
    </row>
    <row r="7" spans="1:11" ht="18" customHeight="1">
      <c r="A7" s="2166" t="s">
        <v>221</v>
      </c>
      <c r="B7" s="2167"/>
      <c r="C7" s="2020">
        <v>1503.74</v>
      </c>
      <c r="D7" s="1792"/>
      <c r="E7" s="2039"/>
      <c r="F7" s="2020">
        <v>461.72</v>
      </c>
      <c r="G7" s="1792"/>
      <c r="H7" s="2039"/>
      <c r="I7" s="2020">
        <f>SUM(C7,F7)</f>
        <v>1965.46</v>
      </c>
      <c r="J7" s="2110"/>
      <c r="K7" s="2021"/>
    </row>
    <row r="8" spans="1:11" ht="18" customHeight="1">
      <c r="A8" s="2166" t="s">
        <v>1301</v>
      </c>
      <c r="B8" s="2167"/>
      <c r="C8" s="2020">
        <v>1586.3</v>
      </c>
      <c r="D8" s="1792"/>
      <c r="E8" s="2039"/>
      <c r="F8" s="2020">
        <v>418.97</v>
      </c>
      <c r="G8" s="1792"/>
      <c r="H8" s="2039"/>
      <c r="I8" s="2020">
        <f>SUM(C8,F8)</f>
        <v>2005.27</v>
      </c>
      <c r="J8" s="2110"/>
      <c r="K8" s="2021"/>
    </row>
    <row r="9" spans="1:11" ht="18" customHeight="1">
      <c r="A9" s="2166" t="s">
        <v>621</v>
      </c>
      <c r="B9" s="2167"/>
      <c r="C9" s="2020">
        <v>1755.86</v>
      </c>
      <c r="D9" s="1792"/>
      <c r="E9" s="2039"/>
      <c r="F9" s="2020">
        <v>372.33</v>
      </c>
      <c r="G9" s="1792"/>
      <c r="H9" s="2039"/>
      <c r="I9" s="2020">
        <f>SUM(C9,F9)</f>
        <v>2128.19</v>
      </c>
      <c r="J9" s="2110"/>
      <c r="K9" s="2021"/>
    </row>
    <row r="10" spans="1:11" ht="18" customHeight="1">
      <c r="A10" s="2159" t="s">
        <v>206</v>
      </c>
      <c r="B10" s="2162"/>
      <c r="C10" s="2022">
        <f>SUM(C12,C13,C14,C15,C16,C17,C18,)</f>
        <v>1917.2400000000002</v>
      </c>
      <c r="D10" s="1807"/>
      <c r="E10" s="1964"/>
      <c r="F10" s="2022">
        <f>SUM(F12,F13,F14,F15,F16,F17,F18,)</f>
        <v>349.02</v>
      </c>
      <c r="G10" s="1807"/>
      <c r="H10" s="1964"/>
      <c r="I10" s="2022">
        <f>SUM(C10,F10)</f>
        <v>2266.2600000000002</v>
      </c>
      <c r="J10" s="2017"/>
      <c r="K10" s="2018"/>
    </row>
    <row r="11" spans="1:11" ht="15" customHeight="1">
      <c r="A11" s="2143" t="s">
        <v>509</v>
      </c>
      <c r="B11" s="2144"/>
      <c r="C11" s="2214" t="str">
        <f>"Year : " &amp; A10</f>
        <v>Year : 2013-14</v>
      </c>
      <c r="D11" s="2100"/>
      <c r="E11" s="2100"/>
      <c r="F11" s="2100"/>
      <c r="G11" s="2100"/>
      <c r="H11" s="2100"/>
      <c r="I11" s="1739"/>
      <c r="J11" s="1739"/>
      <c r="K11" s="2215"/>
    </row>
    <row r="12" spans="1:11" ht="18" customHeight="1">
      <c r="A12" s="2216" t="s">
        <v>1492</v>
      </c>
      <c r="B12" s="2217"/>
      <c r="C12" s="2023">
        <v>93.13</v>
      </c>
      <c r="D12" s="2192"/>
      <c r="E12" s="2024"/>
      <c r="F12" s="2023">
        <v>2.46</v>
      </c>
      <c r="G12" s="2192"/>
      <c r="H12" s="2192"/>
      <c r="I12" s="2023">
        <f>SUM(C12,F12)</f>
        <v>95.589999999999989</v>
      </c>
      <c r="J12" s="2192"/>
      <c r="K12" s="2024"/>
    </row>
    <row r="13" spans="1:11" ht="18" customHeight="1">
      <c r="A13" s="2207" t="s">
        <v>1852</v>
      </c>
      <c r="B13" s="2208"/>
      <c r="C13" s="2020">
        <v>145</v>
      </c>
      <c r="D13" s="2110"/>
      <c r="E13" s="2021"/>
      <c r="F13" s="2020">
        <v>44</v>
      </c>
      <c r="G13" s="2110"/>
      <c r="H13" s="2110"/>
      <c r="I13" s="2020">
        <f t="shared" ref="I13:I18" si="0">SUM(C13,F13)</f>
        <v>189</v>
      </c>
      <c r="J13" s="2110"/>
      <c r="K13" s="2021"/>
    </row>
    <row r="14" spans="1:11" ht="18" customHeight="1">
      <c r="A14" s="2207" t="s">
        <v>1210</v>
      </c>
      <c r="B14" s="2208"/>
      <c r="C14" s="2020">
        <v>513.48</v>
      </c>
      <c r="D14" s="2110"/>
      <c r="E14" s="2021"/>
      <c r="F14" s="2213">
        <v>17</v>
      </c>
      <c r="G14" s="2110"/>
      <c r="H14" s="2110"/>
      <c r="I14" s="2020">
        <f t="shared" si="0"/>
        <v>530.48</v>
      </c>
      <c r="J14" s="2110"/>
      <c r="K14" s="2021"/>
    </row>
    <row r="15" spans="1:11" ht="18" customHeight="1">
      <c r="A15" s="2207" t="s">
        <v>1560</v>
      </c>
      <c r="B15" s="2208"/>
      <c r="C15" s="2020">
        <v>66.099999999999994</v>
      </c>
      <c r="D15" s="2110"/>
      <c r="E15" s="2021"/>
      <c r="F15" s="2020">
        <v>12.2</v>
      </c>
      <c r="G15" s="2110"/>
      <c r="H15" s="2110"/>
      <c r="I15" s="2020">
        <f t="shared" si="0"/>
        <v>78.3</v>
      </c>
      <c r="J15" s="2110"/>
      <c r="K15" s="2021"/>
    </row>
    <row r="16" spans="1:11" ht="18" customHeight="1">
      <c r="A16" s="2211" t="s">
        <v>1853</v>
      </c>
      <c r="B16" s="2212"/>
      <c r="C16" s="2020">
        <v>49.65</v>
      </c>
      <c r="D16" s="2110"/>
      <c r="E16" s="2021"/>
      <c r="F16" s="2020">
        <v>7.13</v>
      </c>
      <c r="G16" s="2110"/>
      <c r="H16" s="2110"/>
      <c r="I16" s="2020">
        <f t="shared" si="0"/>
        <v>56.78</v>
      </c>
      <c r="J16" s="2110"/>
      <c r="K16" s="2021"/>
    </row>
    <row r="17" spans="1:11" ht="18" customHeight="1">
      <c r="A17" s="2207" t="s">
        <v>1221</v>
      </c>
      <c r="B17" s="2208"/>
      <c r="C17" s="2020">
        <v>157</v>
      </c>
      <c r="D17" s="2110"/>
      <c r="E17" s="2021"/>
      <c r="F17" s="2020">
        <v>17</v>
      </c>
      <c r="G17" s="2110"/>
      <c r="H17" s="2110"/>
      <c r="I17" s="2020">
        <f t="shared" si="0"/>
        <v>174</v>
      </c>
      <c r="J17" s="2110"/>
      <c r="K17" s="2021"/>
    </row>
    <row r="18" spans="1:11" ht="18" customHeight="1">
      <c r="A18" s="2209" t="s">
        <v>1854</v>
      </c>
      <c r="B18" s="2210"/>
      <c r="C18" s="2022">
        <v>892.88</v>
      </c>
      <c r="D18" s="2017"/>
      <c r="E18" s="2018"/>
      <c r="F18" s="2022">
        <v>249.23</v>
      </c>
      <c r="G18" s="2017"/>
      <c r="H18" s="2017"/>
      <c r="I18" s="2022">
        <f t="shared" si="0"/>
        <v>1142.1099999999999</v>
      </c>
      <c r="J18" s="2017"/>
      <c r="K18" s="2018"/>
    </row>
    <row r="19" spans="1:11" ht="14.1" customHeight="1">
      <c r="C19" s="98"/>
      <c r="K19" s="1008" t="s">
        <v>808</v>
      </c>
    </row>
    <row r="21" spans="1:11">
      <c r="A21" s="1948" t="s">
        <v>809</v>
      </c>
      <c r="B21" s="1948"/>
      <c r="C21" s="1948"/>
      <c r="D21" s="1948"/>
      <c r="E21" s="1948"/>
      <c r="F21" s="1948"/>
      <c r="G21" s="1948"/>
      <c r="H21" s="1948"/>
      <c r="I21" s="1948"/>
      <c r="J21" s="1948"/>
      <c r="K21" s="1948"/>
    </row>
    <row r="22" spans="1:11" ht="18" customHeight="1">
      <c r="A22" s="1975" t="str">
        <f>CONCATENATE("Registered Motor Vehicles in the district of ",District!$A$1)</f>
        <v>Registered Motor Vehicles in the district of South 24-Parganas</v>
      </c>
      <c r="B22" s="1975"/>
      <c r="C22" s="1975"/>
      <c r="D22" s="1975"/>
      <c r="E22" s="1975"/>
      <c r="F22" s="1975"/>
      <c r="G22" s="1975"/>
      <c r="H22" s="1975"/>
      <c r="I22" s="1975"/>
      <c r="J22" s="1975"/>
      <c r="K22" s="1975"/>
    </row>
    <row r="23" spans="1:11" ht="12.75" customHeight="1">
      <c r="A23" s="1381"/>
      <c r="B23" s="1381"/>
      <c r="C23" s="1381"/>
      <c r="D23" s="1381"/>
      <c r="E23" s="1381"/>
      <c r="F23" s="1381"/>
      <c r="G23" s="1381"/>
      <c r="H23" s="1381"/>
      <c r="I23" s="1381"/>
      <c r="J23" s="1382"/>
      <c r="K23" s="1383" t="s">
        <v>977</v>
      </c>
    </row>
    <row r="24" spans="1:11" ht="12.75" customHeight="1">
      <c r="A24" s="2205" t="s">
        <v>31</v>
      </c>
      <c r="B24" s="2205" t="s">
        <v>32</v>
      </c>
      <c r="C24" s="2205" t="s">
        <v>33</v>
      </c>
      <c r="D24" s="2205" t="s">
        <v>34</v>
      </c>
      <c r="E24" s="2205" t="s">
        <v>35</v>
      </c>
      <c r="F24" s="2205" t="s">
        <v>36</v>
      </c>
      <c r="G24" s="2205" t="s">
        <v>228</v>
      </c>
      <c r="H24" s="2205" t="s">
        <v>229</v>
      </c>
      <c r="I24" s="2205" t="s">
        <v>1541</v>
      </c>
      <c r="J24" s="2045" t="s">
        <v>1111</v>
      </c>
      <c r="K24" s="2045" t="s">
        <v>958</v>
      </c>
    </row>
    <row r="25" spans="1:11" ht="25.5" customHeight="1">
      <c r="A25" s="2206"/>
      <c r="B25" s="2206"/>
      <c r="C25" s="2206"/>
      <c r="D25" s="2206"/>
      <c r="E25" s="2206"/>
      <c r="F25" s="2206"/>
      <c r="G25" s="2206"/>
      <c r="H25" s="2206"/>
      <c r="I25" s="2206"/>
      <c r="J25" s="2046"/>
      <c r="K25" s="2046"/>
    </row>
    <row r="26" spans="1:11" ht="13.5" customHeight="1">
      <c r="A26" s="118" t="s">
        <v>928</v>
      </c>
      <c r="B26" s="199" t="s">
        <v>929</v>
      </c>
      <c r="C26" s="119" t="s">
        <v>930</v>
      </c>
      <c r="D26" s="199" t="s">
        <v>931</v>
      </c>
      <c r="E26" s="119" t="s">
        <v>932</v>
      </c>
      <c r="F26" s="199" t="s">
        <v>933</v>
      </c>
      <c r="G26" s="119" t="s">
        <v>934</v>
      </c>
      <c r="H26" s="199" t="s">
        <v>959</v>
      </c>
      <c r="I26" s="119" t="s">
        <v>960</v>
      </c>
      <c r="J26" s="199" t="s">
        <v>961</v>
      </c>
      <c r="K26" s="120" t="s">
        <v>962</v>
      </c>
    </row>
    <row r="27" spans="1:11" ht="21" customHeight="1">
      <c r="A27" s="518">
        <v>2010</v>
      </c>
      <c r="B27" s="753">
        <v>17140</v>
      </c>
      <c r="C27" s="887">
        <v>60015</v>
      </c>
      <c r="D27" s="753">
        <v>171551</v>
      </c>
      <c r="E27" s="887">
        <v>4984</v>
      </c>
      <c r="F27" s="753">
        <v>13344</v>
      </c>
      <c r="G27" s="887">
        <v>238</v>
      </c>
      <c r="H27" s="753">
        <v>4258</v>
      </c>
      <c r="I27" s="887">
        <v>128</v>
      </c>
      <c r="J27" s="753">
        <v>1434</v>
      </c>
      <c r="K27" s="885">
        <f>SUM(B27:J27)</f>
        <v>273092</v>
      </c>
    </row>
    <row r="28" spans="1:11" ht="21" customHeight="1">
      <c r="A28" s="518">
        <v>2011</v>
      </c>
      <c r="B28" s="753">
        <v>18425</v>
      </c>
      <c r="C28" s="887">
        <v>67474</v>
      </c>
      <c r="D28" s="753">
        <v>199980</v>
      </c>
      <c r="E28" s="887">
        <v>5190</v>
      </c>
      <c r="F28" s="753">
        <v>17498</v>
      </c>
      <c r="G28" s="887">
        <v>239</v>
      </c>
      <c r="H28" s="753">
        <v>4966</v>
      </c>
      <c r="I28" s="887">
        <v>129</v>
      </c>
      <c r="J28" s="753">
        <v>1642</v>
      </c>
      <c r="K28" s="885">
        <f>SUM(B28:J28)</f>
        <v>315543</v>
      </c>
    </row>
    <row r="29" spans="1:11" ht="21" customHeight="1">
      <c r="A29" s="518">
        <v>2012</v>
      </c>
      <c r="B29" s="753">
        <v>19656</v>
      </c>
      <c r="C29" s="887">
        <v>76953</v>
      </c>
      <c r="D29" s="753">
        <v>228565</v>
      </c>
      <c r="E29" s="887">
        <v>5459</v>
      </c>
      <c r="F29" s="753">
        <v>19063</v>
      </c>
      <c r="G29" s="887">
        <v>241</v>
      </c>
      <c r="H29" s="753">
        <v>5526</v>
      </c>
      <c r="I29" s="887">
        <v>135</v>
      </c>
      <c r="J29" s="753">
        <v>1881</v>
      </c>
      <c r="K29" s="885">
        <f>SUM(B29:J29)</f>
        <v>357479</v>
      </c>
    </row>
    <row r="30" spans="1:11" ht="21" customHeight="1">
      <c r="A30" s="518">
        <v>2013</v>
      </c>
      <c r="B30" s="753">
        <v>23150</v>
      </c>
      <c r="C30" s="887">
        <v>86664</v>
      </c>
      <c r="D30" s="753">
        <v>262879</v>
      </c>
      <c r="E30" s="887">
        <v>5764</v>
      </c>
      <c r="F30" s="753">
        <v>19650</v>
      </c>
      <c r="G30" s="887">
        <v>246</v>
      </c>
      <c r="H30" s="753">
        <v>6390</v>
      </c>
      <c r="I30" s="887">
        <v>164</v>
      </c>
      <c r="J30" s="753">
        <v>2123</v>
      </c>
      <c r="K30" s="885">
        <f>SUM(B30:J30)</f>
        <v>407030</v>
      </c>
    </row>
    <row r="31" spans="1:11" ht="21" customHeight="1">
      <c r="A31" s="739">
        <v>2014</v>
      </c>
      <c r="B31" s="348">
        <v>27051</v>
      </c>
      <c r="C31" s="535">
        <v>91823</v>
      </c>
      <c r="D31" s="348">
        <v>293365</v>
      </c>
      <c r="E31" s="535">
        <v>6142</v>
      </c>
      <c r="F31" s="348">
        <v>20799</v>
      </c>
      <c r="G31" s="535">
        <v>252</v>
      </c>
      <c r="H31" s="348">
        <v>7640</v>
      </c>
      <c r="I31" s="535">
        <v>220</v>
      </c>
      <c r="J31" s="348">
        <v>2354</v>
      </c>
      <c r="K31" s="348">
        <f>SUM(B31:J31)</f>
        <v>449646</v>
      </c>
    </row>
    <row r="32" spans="1:11">
      <c r="A32" s="820"/>
      <c r="G32" s="98"/>
      <c r="H32" s="1008" t="s">
        <v>1446</v>
      </c>
      <c r="I32" s="1009" t="s">
        <v>1108</v>
      </c>
    </row>
    <row r="33" spans="2:9">
      <c r="B33" s="98"/>
      <c r="H33" s="1009"/>
      <c r="I33" s="1009" t="s">
        <v>1008</v>
      </c>
    </row>
  </sheetData>
  <mergeCells count="73">
    <mergeCell ref="A1:K1"/>
    <mergeCell ref="A2:K2"/>
    <mergeCell ref="A4:B4"/>
    <mergeCell ref="C4:E4"/>
    <mergeCell ref="F4:H4"/>
    <mergeCell ref="I4:K4"/>
    <mergeCell ref="A5:B5"/>
    <mergeCell ref="C5:E5"/>
    <mergeCell ref="F5:H5"/>
    <mergeCell ref="I5:K5"/>
    <mergeCell ref="A6:B6"/>
    <mergeCell ref="C6:E6"/>
    <mergeCell ref="F6:H6"/>
    <mergeCell ref="I6:K6"/>
    <mergeCell ref="A7:B7"/>
    <mergeCell ref="C7:E7"/>
    <mergeCell ref="F7:H7"/>
    <mergeCell ref="I7:K7"/>
    <mergeCell ref="A8:B8"/>
    <mergeCell ref="C8:E8"/>
    <mergeCell ref="F8:H8"/>
    <mergeCell ref="I8:K8"/>
    <mergeCell ref="A9:B9"/>
    <mergeCell ref="C9:E9"/>
    <mergeCell ref="F9:H9"/>
    <mergeCell ref="I9:K9"/>
    <mergeCell ref="A10:B10"/>
    <mergeCell ref="C10:E10"/>
    <mergeCell ref="F10:H10"/>
    <mergeCell ref="I10:K10"/>
    <mergeCell ref="A11:B11"/>
    <mergeCell ref="C11:K11"/>
    <mergeCell ref="A12:B12"/>
    <mergeCell ref="C12:E12"/>
    <mergeCell ref="F12:H12"/>
    <mergeCell ref="I12:K12"/>
    <mergeCell ref="A13:B13"/>
    <mergeCell ref="C13:E13"/>
    <mergeCell ref="F13:H13"/>
    <mergeCell ref="I13:K13"/>
    <mergeCell ref="A14:B14"/>
    <mergeCell ref="C14:E14"/>
    <mergeCell ref="F14:H14"/>
    <mergeCell ref="I14:K14"/>
    <mergeCell ref="A15:B15"/>
    <mergeCell ref="C15:E15"/>
    <mergeCell ref="F15:H15"/>
    <mergeCell ref="I15:K15"/>
    <mergeCell ref="A16:B16"/>
    <mergeCell ref="C16:E16"/>
    <mergeCell ref="F16:H16"/>
    <mergeCell ref="I16:K16"/>
    <mergeCell ref="A17:B17"/>
    <mergeCell ref="C17:E17"/>
    <mergeCell ref="F17:H17"/>
    <mergeCell ref="I17:K17"/>
    <mergeCell ref="F24:F25"/>
    <mergeCell ref="G24:G25"/>
    <mergeCell ref="H24:H25"/>
    <mergeCell ref="A18:B18"/>
    <mergeCell ref="C18:E18"/>
    <mergeCell ref="E24:E25"/>
    <mergeCell ref="F18:H18"/>
    <mergeCell ref="I24:I25"/>
    <mergeCell ref="J24:J25"/>
    <mergeCell ref="K24:K25"/>
    <mergeCell ref="A21:K21"/>
    <mergeCell ref="A22:K22"/>
    <mergeCell ref="A24:A25"/>
    <mergeCell ref="B24:B25"/>
    <mergeCell ref="C24:C25"/>
    <mergeCell ref="D24:D25"/>
    <mergeCell ref="I18:K18"/>
  </mergeCells>
  <phoneticPr fontId="0" type="noConversion"/>
  <printOptions horizontalCentered="1"/>
  <pageMargins left="0.1" right="0.1" top="0.46" bottom="0.14000000000000001" header="0.43" footer="0.14000000000000001"/>
  <pageSetup paperSize="9" orientation="landscape" blackAndWhite="1" r:id="rId1"/>
  <headerFooter alignWithMargins="0"/>
</worksheet>
</file>

<file path=xl/worksheets/sheet69.xml><?xml version="1.0" encoding="utf-8"?>
<worksheet xmlns="http://schemas.openxmlformats.org/spreadsheetml/2006/main" xmlns:r="http://schemas.openxmlformats.org/officeDocument/2006/relationships">
  <dimension ref="A1:K39"/>
  <sheetViews>
    <sheetView workbookViewId="0">
      <selection activeCell="J11" sqref="J11"/>
    </sheetView>
  </sheetViews>
  <sheetFormatPr defaultRowHeight="12.75"/>
  <cols>
    <col min="1" max="1" width="17.85546875" customWidth="1"/>
    <col min="2" max="7" width="11.28515625" customWidth="1"/>
    <col min="8" max="8" width="7.140625" customWidth="1"/>
    <col min="9" max="9" width="7.5703125" customWidth="1"/>
  </cols>
  <sheetData>
    <row r="1" spans="1:11">
      <c r="A1" s="1899" t="s">
        <v>813</v>
      </c>
      <c r="B1" s="1899"/>
      <c r="C1" s="1899"/>
      <c r="D1" s="1899"/>
      <c r="E1" s="1899"/>
      <c r="F1" s="1899"/>
      <c r="G1" s="1899"/>
      <c r="H1" s="558"/>
      <c r="I1" s="558"/>
    </row>
    <row r="2" spans="1:11" ht="20.100000000000001" customHeight="1">
      <c r="A2" s="2224" t="str">
        <f>CONCATENATE("Accidents on Roads in the district of ",District!$A$1)</f>
        <v>Accidents on Roads in the district of South 24-Parganas</v>
      </c>
      <c r="B2" s="2224"/>
      <c r="C2" s="2224"/>
      <c r="D2" s="2224"/>
      <c r="E2" s="2224"/>
      <c r="F2" s="2224"/>
      <c r="G2" s="2224"/>
      <c r="H2" s="246"/>
      <c r="I2" s="246"/>
      <c r="J2" s="246"/>
      <c r="K2" s="246"/>
    </row>
    <row r="3" spans="1:11" ht="20.100000000000001" customHeight="1">
      <c r="A3" s="347" t="s">
        <v>671</v>
      </c>
      <c r="B3" s="2221" t="s">
        <v>1493</v>
      </c>
      <c r="C3" s="2087"/>
      <c r="D3" s="2086" t="s">
        <v>230</v>
      </c>
      <c r="E3" s="2087"/>
      <c r="F3" s="2086" t="s">
        <v>462</v>
      </c>
      <c r="G3" s="2087"/>
    </row>
    <row r="4" spans="1:11" ht="20.100000000000001" customHeight="1">
      <c r="A4" s="199" t="s">
        <v>928</v>
      </c>
      <c r="B4" s="1717" t="s">
        <v>929</v>
      </c>
      <c r="C4" s="1797"/>
      <c r="D4" s="1716" t="s">
        <v>930</v>
      </c>
      <c r="E4" s="1797"/>
      <c r="F4" s="1716" t="s">
        <v>931</v>
      </c>
      <c r="G4" s="1797"/>
    </row>
    <row r="5" spans="1:11" ht="20.100000000000001" customHeight="1">
      <c r="A5" s="633">
        <v>2010</v>
      </c>
      <c r="B5" s="2040">
        <v>1174</v>
      </c>
      <c r="C5" s="1963"/>
      <c r="D5" s="2040">
        <v>1147</v>
      </c>
      <c r="E5" s="1963"/>
      <c r="F5" s="2040">
        <v>354</v>
      </c>
      <c r="G5" s="1963"/>
    </row>
    <row r="6" spans="1:11" ht="20.100000000000001" customHeight="1">
      <c r="A6" s="613">
        <v>2011</v>
      </c>
      <c r="B6" s="1791">
        <v>1055</v>
      </c>
      <c r="C6" s="2039"/>
      <c r="D6" s="1791">
        <v>1148</v>
      </c>
      <c r="E6" s="2039"/>
      <c r="F6" s="1791">
        <v>339</v>
      </c>
      <c r="G6" s="2039"/>
      <c r="I6" s="2"/>
    </row>
    <row r="7" spans="1:11" ht="20.100000000000001" customHeight="1">
      <c r="A7" s="613">
        <v>2012</v>
      </c>
      <c r="B7" s="1791">
        <v>965</v>
      </c>
      <c r="C7" s="2039"/>
      <c r="D7" s="1791">
        <v>1074</v>
      </c>
      <c r="E7" s="2039"/>
      <c r="F7" s="1791">
        <v>350</v>
      </c>
      <c r="G7" s="2039"/>
    </row>
    <row r="8" spans="1:11" ht="20.100000000000001" customHeight="1">
      <c r="A8" s="613">
        <v>2013</v>
      </c>
      <c r="B8" s="1791">
        <v>1018</v>
      </c>
      <c r="C8" s="2039"/>
      <c r="D8" s="1792">
        <v>1224</v>
      </c>
      <c r="E8" s="1792"/>
      <c r="F8" s="1791">
        <v>369</v>
      </c>
      <c r="G8" s="2039"/>
    </row>
    <row r="9" spans="1:11" ht="20.100000000000001" customHeight="1">
      <c r="A9" s="612">
        <v>2014</v>
      </c>
      <c r="B9" s="1806">
        <v>1093</v>
      </c>
      <c r="C9" s="1964"/>
      <c r="D9" s="1807">
        <v>1134</v>
      </c>
      <c r="E9" s="1807"/>
      <c r="F9" s="1806">
        <v>381</v>
      </c>
      <c r="G9" s="1964"/>
    </row>
    <row r="10" spans="1:11" ht="14.25" customHeight="1">
      <c r="C10" s="98"/>
      <c r="G10" s="1008" t="s">
        <v>814</v>
      </c>
    </row>
    <row r="11" spans="1:11">
      <c r="C11" s="98"/>
      <c r="G11" s="94"/>
    </row>
    <row r="12" spans="1:11">
      <c r="C12" s="98"/>
      <c r="G12" s="94"/>
    </row>
    <row r="13" spans="1:11" ht="12.75" customHeight="1">
      <c r="A13" s="1928" t="s">
        <v>812</v>
      </c>
      <c r="B13" s="1928"/>
      <c r="C13" s="1928"/>
      <c r="D13" s="1928"/>
      <c r="E13" s="1928"/>
      <c r="F13" s="1928"/>
      <c r="G13" s="1928"/>
    </row>
    <row r="14" spans="1:11" ht="18" customHeight="1">
      <c r="A14" s="2056" t="str">
        <f>CONCATENATE("Post &amp; Telegraph Offices in the district of ",District!$A$1)</f>
        <v>Post &amp; Telegraph Offices in the district of South 24-Parganas</v>
      </c>
      <c r="B14" s="2056"/>
      <c r="C14" s="2056"/>
      <c r="D14" s="2056"/>
      <c r="E14" s="2056"/>
      <c r="F14" s="2056"/>
      <c r="G14" s="2056"/>
    </row>
    <row r="15" spans="1:11" ht="14.25" customHeight="1">
      <c r="G15" s="113" t="s">
        <v>276</v>
      </c>
    </row>
    <row r="16" spans="1:11" ht="29.25" customHeight="1">
      <c r="A16" s="738" t="s">
        <v>1126</v>
      </c>
      <c r="B16" s="2183" t="s">
        <v>231</v>
      </c>
      <c r="C16" s="2184"/>
      <c r="D16" s="2183" t="s">
        <v>232</v>
      </c>
      <c r="E16" s="2184"/>
      <c r="F16" s="2183" t="s">
        <v>233</v>
      </c>
      <c r="G16" s="2184"/>
    </row>
    <row r="17" spans="1:8" ht="20.100000000000001" customHeight="1">
      <c r="A17" s="118" t="s">
        <v>928</v>
      </c>
      <c r="B17" s="1716" t="s">
        <v>929</v>
      </c>
      <c r="C17" s="1797"/>
      <c r="D17" s="1716" t="s">
        <v>930</v>
      </c>
      <c r="E17" s="1797"/>
      <c r="F17" s="1716" t="s">
        <v>931</v>
      </c>
      <c r="G17" s="1797"/>
    </row>
    <row r="18" spans="1:8" ht="20.100000000000001" customHeight="1">
      <c r="A18" s="633">
        <v>2010</v>
      </c>
      <c r="B18" s="2040">
        <v>770</v>
      </c>
      <c r="C18" s="1963"/>
      <c r="D18" s="2040" t="s">
        <v>1229</v>
      </c>
      <c r="E18" s="1963"/>
      <c r="F18" s="2040">
        <v>9</v>
      </c>
      <c r="G18" s="1963"/>
    </row>
    <row r="19" spans="1:8" ht="20.100000000000001" customHeight="1">
      <c r="A19" s="613">
        <v>2011</v>
      </c>
      <c r="B19" s="1791">
        <v>770</v>
      </c>
      <c r="C19" s="2039"/>
      <c r="D19" s="1791" t="s">
        <v>1229</v>
      </c>
      <c r="E19" s="2039"/>
      <c r="F19" s="2222" t="s">
        <v>1229</v>
      </c>
      <c r="G19" s="2223"/>
    </row>
    <row r="20" spans="1:8" ht="20.100000000000001" customHeight="1">
      <c r="A20" s="613">
        <v>2012</v>
      </c>
      <c r="B20" s="1791">
        <v>774</v>
      </c>
      <c r="C20" s="2039"/>
      <c r="D20" s="1791" t="s">
        <v>1229</v>
      </c>
      <c r="E20" s="2039"/>
      <c r="F20" s="2222" t="s">
        <v>1229</v>
      </c>
      <c r="G20" s="2223"/>
    </row>
    <row r="21" spans="1:8" ht="20.100000000000001" customHeight="1">
      <c r="A21" s="613">
        <v>2013</v>
      </c>
      <c r="B21" s="1791" t="s">
        <v>110</v>
      </c>
      <c r="C21" s="2039"/>
      <c r="D21" s="1791" t="s">
        <v>1229</v>
      </c>
      <c r="E21" s="2039"/>
      <c r="F21" s="2222" t="s">
        <v>1229</v>
      </c>
      <c r="G21" s="2039"/>
    </row>
    <row r="22" spans="1:8" ht="20.100000000000001" customHeight="1">
      <c r="A22" s="612">
        <v>2014</v>
      </c>
      <c r="B22" s="1806" t="s">
        <v>110</v>
      </c>
      <c r="C22" s="1964"/>
      <c r="D22" s="1806" t="s">
        <v>1229</v>
      </c>
      <c r="E22" s="1964"/>
      <c r="F22" s="2232" t="s">
        <v>1229</v>
      </c>
      <c r="G22" s="1964"/>
    </row>
    <row r="23" spans="1:8" ht="13.5" customHeight="1">
      <c r="A23" s="2062" t="s">
        <v>111</v>
      </c>
      <c r="B23" s="2233"/>
      <c r="C23" s="2233"/>
      <c r="D23" s="1153"/>
      <c r="E23" s="1153"/>
      <c r="F23" s="1009"/>
      <c r="G23" s="1008" t="s">
        <v>234</v>
      </c>
      <c r="H23" s="1009"/>
    </row>
    <row r="24" spans="1:8" ht="14.25" customHeight="1">
      <c r="A24" s="2234"/>
      <c r="B24" s="2234"/>
      <c r="C24" s="2234"/>
      <c r="D24" s="582"/>
      <c r="E24" s="582"/>
    </row>
    <row r="25" spans="1:8" ht="14.25" customHeight="1">
      <c r="A25" s="581"/>
      <c r="B25" s="581"/>
      <c r="C25" s="582"/>
      <c r="D25" s="582"/>
      <c r="E25" s="582"/>
    </row>
    <row r="26" spans="1:8">
      <c r="A26" s="1899" t="s">
        <v>811</v>
      </c>
      <c r="B26" s="1899"/>
      <c r="C26" s="1899"/>
      <c r="D26" s="1899"/>
      <c r="E26" s="1899"/>
      <c r="F26" s="1899"/>
      <c r="G26" s="1899"/>
    </row>
    <row r="27" spans="1:8" ht="20.100000000000001" customHeight="1">
      <c r="A27" s="2056" t="str">
        <f>CONCATENATE("Progress in Tourism in the district of ",District!$A$1)</f>
        <v>Progress in Tourism in the district of South 24-Parganas</v>
      </c>
      <c r="B27" s="2056"/>
      <c r="C27" s="2056"/>
      <c r="D27" s="2056"/>
      <c r="E27" s="2056"/>
      <c r="F27" s="2056"/>
      <c r="G27" s="2056"/>
    </row>
    <row r="28" spans="1:8" ht="20.100000000000001" customHeight="1">
      <c r="A28" s="2183" t="s">
        <v>671</v>
      </c>
      <c r="B28" s="2225" t="s">
        <v>733</v>
      </c>
      <c r="C28" s="2225" t="s">
        <v>223</v>
      </c>
      <c r="D28" s="2225" t="s">
        <v>463</v>
      </c>
      <c r="E28" s="2225" t="s">
        <v>465</v>
      </c>
      <c r="F28" s="2230" t="s">
        <v>464</v>
      </c>
      <c r="G28" s="2225" t="s">
        <v>1109</v>
      </c>
    </row>
    <row r="29" spans="1:8" ht="20.100000000000001" customHeight="1">
      <c r="A29" s="2181"/>
      <c r="B29" s="2226"/>
      <c r="C29" s="2228"/>
      <c r="D29" s="2228"/>
      <c r="E29" s="2228"/>
      <c r="F29" s="2231"/>
      <c r="G29" s="2228"/>
    </row>
    <row r="30" spans="1:8" ht="27" customHeight="1">
      <c r="A30" s="2181"/>
      <c r="B30" s="2227"/>
      <c r="C30" s="2229"/>
      <c r="D30" s="2229"/>
      <c r="E30" s="2229"/>
      <c r="F30" s="2231"/>
      <c r="G30" s="2229"/>
    </row>
    <row r="31" spans="1:8" ht="20.100000000000001" customHeight="1">
      <c r="A31" s="118" t="s">
        <v>928</v>
      </c>
      <c r="B31" s="199" t="s">
        <v>929</v>
      </c>
      <c r="C31" s="199" t="s">
        <v>930</v>
      </c>
      <c r="D31" s="199" t="s">
        <v>931</v>
      </c>
      <c r="E31" s="199" t="s">
        <v>932</v>
      </c>
      <c r="F31" s="199" t="s">
        <v>933</v>
      </c>
      <c r="G31" s="199" t="s">
        <v>934</v>
      </c>
    </row>
    <row r="32" spans="1:8" ht="20.100000000000001" customHeight="1">
      <c r="A32" s="736" t="s">
        <v>1317</v>
      </c>
      <c r="B32" s="392" t="s">
        <v>857</v>
      </c>
      <c r="C32" s="392" t="s">
        <v>857</v>
      </c>
      <c r="D32" s="392" t="s">
        <v>857</v>
      </c>
      <c r="E32" s="392">
        <v>3</v>
      </c>
      <c r="F32" s="392">
        <v>21199</v>
      </c>
      <c r="G32" s="392">
        <v>6932</v>
      </c>
    </row>
    <row r="33" spans="1:9" ht="20.100000000000001" customHeight="1">
      <c r="A33" s="737" t="s">
        <v>221</v>
      </c>
      <c r="B33" s="392" t="s">
        <v>857</v>
      </c>
      <c r="C33" s="392" t="s">
        <v>857</v>
      </c>
      <c r="D33" s="392" t="s">
        <v>857</v>
      </c>
      <c r="E33" s="392">
        <v>3</v>
      </c>
      <c r="F33" s="392">
        <v>25329</v>
      </c>
      <c r="G33" s="392">
        <v>9866</v>
      </c>
    </row>
    <row r="34" spans="1:9" ht="20.100000000000001" customHeight="1">
      <c r="A34" s="737" t="s">
        <v>1301</v>
      </c>
      <c r="B34" s="392" t="s">
        <v>857</v>
      </c>
      <c r="C34" s="392" t="s">
        <v>857</v>
      </c>
      <c r="D34" s="392" t="s">
        <v>857</v>
      </c>
      <c r="E34" s="392">
        <v>3</v>
      </c>
      <c r="F34" s="392">
        <v>22048</v>
      </c>
      <c r="G34" s="392">
        <v>9926</v>
      </c>
    </row>
    <row r="35" spans="1:9" ht="20.100000000000001" customHeight="1">
      <c r="A35" s="737" t="s">
        <v>621</v>
      </c>
      <c r="B35" s="392" t="s">
        <v>857</v>
      </c>
      <c r="C35" s="392" t="s">
        <v>857</v>
      </c>
      <c r="D35" s="392" t="s">
        <v>857</v>
      </c>
      <c r="E35" s="392">
        <v>3</v>
      </c>
      <c r="F35" s="392">
        <v>14480</v>
      </c>
      <c r="G35" s="392">
        <v>12112</v>
      </c>
      <c r="I35" s="98"/>
    </row>
    <row r="36" spans="1:9" ht="20.100000000000001" customHeight="1">
      <c r="A36" s="615" t="s">
        <v>206</v>
      </c>
      <c r="B36" s="1080" t="s">
        <v>1229</v>
      </c>
      <c r="C36" s="1080" t="s">
        <v>1229</v>
      </c>
      <c r="D36" s="1080" t="s">
        <v>1229</v>
      </c>
      <c r="E36" s="443">
        <v>3</v>
      </c>
      <c r="F36" s="443">
        <v>15817</v>
      </c>
      <c r="G36" s="443">
        <v>13788</v>
      </c>
    </row>
    <row r="37" spans="1:9" ht="15" customHeight="1">
      <c r="C37" s="1162" t="s">
        <v>1446</v>
      </c>
      <c r="D37" s="1139" t="s">
        <v>1028</v>
      </c>
      <c r="E37" s="1009"/>
      <c r="F37" s="1009"/>
      <c r="G37" s="1009"/>
    </row>
    <row r="38" spans="1:9" ht="15" customHeight="1">
      <c r="C38" s="1139"/>
      <c r="D38" s="1139" t="s">
        <v>1009</v>
      </c>
      <c r="E38" s="1149"/>
      <c r="F38" s="1149"/>
      <c r="G38" s="1009"/>
    </row>
    <row r="39" spans="1:9" ht="15" customHeight="1">
      <c r="A39" s="636"/>
      <c r="B39" s="636"/>
      <c r="G39" s="98"/>
    </row>
  </sheetData>
  <mergeCells count="56">
    <mergeCell ref="E28:E30"/>
    <mergeCell ref="G28:G30"/>
    <mergeCell ref="F28:F30"/>
    <mergeCell ref="B22:C22"/>
    <mergeCell ref="D22:E22"/>
    <mergeCell ref="F22:G22"/>
    <mergeCell ref="A23:C24"/>
    <mergeCell ref="F21:G21"/>
    <mergeCell ref="B28:B30"/>
    <mergeCell ref="D28:D30"/>
    <mergeCell ref="B17:C17"/>
    <mergeCell ref="A26:G26"/>
    <mergeCell ref="D21:E21"/>
    <mergeCell ref="A28:A30"/>
    <mergeCell ref="B21:C21"/>
    <mergeCell ref="B19:C19"/>
    <mergeCell ref="B20:C20"/>
    <mergeCell ref="B18:C18"/>
    <mergeCell ref="F20:G20"/>
    <mergeCell ref="D17:E17"/>
    <mergeCell ref="F17:G17"/>
    <mergeCell ref="A27:G27"/>
    <mergeCell ref="C28:C30"/>
    <mergeCell ref="D20:E20"/>
    <mergeCell ref="A1:G1"/>
    <mergeCell ref="A2:G2"/>
    <mergeCell ref="A13:G13"/>
    <mergeCell ref="F8:G8"/>
    <mergeCell ref="B8:C8"/>
    <mergeCell ref="D8:E8"/>
    <mergeCell ref="B7:C7"/>
    <mergeCell ref="D7:E7"/>
    <mergeCell ref="F7:G7"/>
    <mergeCell ref="F3:G3"/>
    <mergeCell ref="B4:C4"/>
    <mergeCell ref="B5:C5"/>
    <mergeCell ref="F4:G4"/>
    <mergeCell ref="D4:E4"/>
    <mergeCell ref="D16:E16"/>
    <mergeCell ref="F18:G18"/>
    <mergeCell ref="F19:G19"/>
    <mergeCell ref="D19:E19"/>
    <mergeCell ref="F16:G16"/>
    <mergeCell ref="F9:G9"/>
    <mergeCell ref="A14:G14"/>
    <mergeCell ref="D9:E9"/>
    <mergeCell ref="B16:C16"/>
    <mergeCell ref="B9:C9"/>
    <mergeCell ref="D18:E18"/>
    <mergeCell ref="B3:C3"/>
    <mergeCell ref="D3:E3"/>
    <mergeCell ref="F5:G5"/>
    <mergeCell ref="F6:G6"/>
    <mergeCell ref="D5:E5"/>
    <mergeCell ref="B6:C6"/>
    <mergeCell ref="D6:E6"/>
  </mergeCells>
  <phoneticPr fontId="0" type="noConversion"/>
  <conditionalFormatting sqref="A1:G4 B22 A22:A23 E8:E17 C8:C17 G8:G17 A5:B21 D5:D31 G21:G65536 A32:E65536 A25:C31 F5:F65536 L1:IV1048576 K1:K27 K37:K1048576 H1:H1048576 J1:J1048576 I1:I30 I32:I1048576 E21:E31">
    <cfRule type="cellIs" dxfId="5" priority="1" stopIfTrue="1" operator="equal">
      <formula>".."</formula>
    </cfRule>
  </conditionalFormatting>
  <printOptions horizontalCentered="1"/>
  <pageMargins left="0.1" right="0.1" top="0.93" bottom="0.1" header="0.5" footer="0.1"/>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sheetPr codeName="Sheet5"/>
  <dimension ref="A1:N47"/>
  <sheetViews>
    <sheetView workbookViewId="0">
      <selection activeCell="J11" sqref="J11"/>
    </sheetView>
  </sheetViews>
  <sheetFormatPr defaultRowHeight="12.75"/>
  <cols>
    <col min="1" max="1" width="13.42578125" customWidth="1"/>
    <col min="2" max="11" width="7.85546875" customWidth="1"/>
  </cols>
  <sheetData>
    <row r="1" spans="1:14" ht="15" customHeight="1">
      <c r="A1" s="1708" t="s">
        <v>279</v>
      </c>
      <c r="B1" s="1708"/>
      <c r="C1" s="1708"/>
      <c r="D1" s="1708"/>
      <c r="E1" s="1708"/>
      <c r="F1" s="1708"/>
      <c r="G1" s="1708"/>
      <c r="H1" s="1708"/>
      <c r="I1" s="1708"/>
      <c r="J1" s="1708"/>
      <c r="K1" s="1708"/>
    </row>
    <row r="2" spans="1:14" ht="16.5" customHeight="1">
      <c r="A2" s="1730" t="str">
        <f>CONCATENATE("Maximum and Minimum Temperature by month
in the district of ",District!$A$1)</f>
        <v>Maximum and Minimum Temperature by month
in the district of South 24-Parganas</v>
      </c>
      <c r="B2" s="1730"/>
      <c r="C2" s="1730"/>
      <c r="D2" s="1730"/>
      <c r="E2" s="1730"/>
      <c r="F2" s="1730"/>
      <c r="G2" s="1730"/>
      <c r="H2" s="1730"/>
      <c r="I2" s="1730"/>
      <c r="J2" s="1730"/>
      <c r="K2" s="1730"/>
    </row>
    <row r="3" spans="1:14" ht="16.5" customHeight="1">
      <c r="A3" s="1731"/>
      <c r="B3" s="1731"/>
      <c r="C3" s="1731"/>
      <c r="D3" s="1731"/>
      <c r="E3" s="1731"/>
      <c r="F3" s="1731"/>
      <c r="G3" s="1731"/>
      <c r="H3" s="1731"/>
      <c r="I3" s="1731"/>
      <c r="J3" s="1731"/>
      <c r="K3" s="1731"/>
    </row>
    <row r="4" spans="1:14" ht="15" customHeight="1">
      <c r="A4" s="1319" t="s">
        <v>1402</v>
      </c>
      <c r="B4" s="6"/>
      <c r="C4" s="6"/>
      <c r="D4" s="600"/>
      <c r="E4" s="600"/>
      <c r="F4" s="600"/>
      <c r="G4" s="600"/>
      <c r="H4" s="600"/>
      <c r="I4" s="600"/>
      <c r="K4" s="1008" t="s">
        <v>586</v>
      </c>
    </row>
    <row r="5" spans="1:14" ht="16.5" customHeight="1">
      <c r="A5" s="1733" t="s">
        <v>935</v>
      </c>
      <c r="B5" s="1732">
        <v>2010</v>
      </c>
      <c r="C5" s="1714"/>
      <c r="D5" s="1732">
        <v>2011</v>
      </c>
      <c r="E5" s="1714"/>
      <c r="F5" s="1732">
        <v>2012</v>
      </c>
      <c r="G5" s="1714"/>
      <c r="H5" s="1732">
        <v>2013</v>
      </c>
      <c r="I5" s="1714"/>
      <c r="J5" s="1732">
        <v>2014</v>
      </c>
      <c r="K5" s="1714"/>
    </row>
    <row r="6" spans="1:14" ht="16.5" customHeight="1">
      <c r="A6" s="1735"/>
      <c r="B6" s="602" t="s">
        <v>941</v>
      </c>
      <c r="C6" s="142" t="s">
        <v>942</v>
      </c>
      <c r="D6" s="602" t="s">
        <v>941</v>
      </c>
      <c r="E6" s="142" t="s">
        <v>942</v>
      </c>
      <c r="F6" s="602" t="s">
        <v>941</v>
      </c>
      <c r="G6" s="142" t="s">
        <v>942</v>
      </c>
      <c r="H6" s="602" t="s">
        <v>941</v>
      </c>
      <c r="I6" s="142" t="s">
        <v>942</v>
      </c>
      <c r="J6" s="602" t="s">
        <v>941</v>
      </c>
      <c r="K6" s="142" t="s">
        <v>942</v>
      </c>
    </row>
    <row r="7" spans="1:14" ht="16.5" customHeight="1">
      <c r="A7" s="257" t="s">
        <v>928</v>
      </c>
      <c r="B7" s="258" t="s">
        <v>929</v>
      </c>
      <c r="C7" s="196" t="s">
        <v>930</v>
      </c>
      <c r="D7" s="118" t="s">
        <v>931</v>
      </c>
      <c r="E7" s="196" t="s">
        <v>932</v>
      </c>
      <c r="F7" s="200" t="s">
        <v>933</v>
      </c>
      <c r="G7" s="196" t="s">
        <v>934</v>
      </c>
      <c r="H7" s="200" t="s">
        <v>959</v>
      </c>
      <c r="I7" s="196" t="s">
        <v>960</v>
      </c>
      <c r="J7" s="118" t="s">
        <v>961</v>
      </c>
      <c r="K7" s="199" t="s">
        <v>962</v>
      </c>
    </row>
    <row r="8" spans="1:14" ht="18" customHeight="1">
      <c r="A8" s="313" t="s">
        <v>938</v>
      </c>
      <c r="B8" s="650">
        <v>29</v>
      </c>
      <c r="C8" s="699">
        <v>10</v>
      </c>
      <c r="D8" s="261">
        <v>30</v>
      </c>
      <c r="E8" s="77">
        <v>9</v>
      </c>
      <c r="F8" s="296">
        <v>31</v>
      </c>
      <c r="G8" s="305">
        <v>10</v>
      </c>
      <c r="H8" s="296">
        <v>31</v>
      </c>
      <c r="I8" s="305">
        <v>7</v>
      </c>
      <c r="J8" s="296">
        <v>28</v>
      </c>
      <c r="K8" s="305">
        <v>11</v>
      </c>
      <c r="L8" s="49"/>
      <c r="M8" s="49"/>
      <c r="N8" s="49"/>
    </row>
    <row r="9" spans="1:14" ht="18" customHeight="1">
      <c r="A9" s="313" t="s">
        <v>939</v>
      </c>
      <c r="B9" s="393">
        <v>34</v>
      </c>
      <c r="C9" s="394">
        <v>13</v>
      </c>
      <c r="D9" s="261">
        <v>33</v>
      </c>
      <c r="E9" s="77">
        <v>13</v>
      </c>
      <c r="F9" s="77">
        <v>37</v>
      </c>
      <c r="G9" s="82">
        <v>11</v>
      </c>
      <c r="H9" s="77">
        <v>33</v>
      </c>
      <c r="I9" s="82">
        <v>12</v>
      </c>
      <c r="J9" s="77">
        <v>32</v>
      </c>
      <c r="K9" s="82">
        <v>12</v>
      </c>
    </row>
    <row r="10" spans="1:14" ht="18" customHeight="1">
      <c r="A10" s="313" t="s">
        <v>940</v>
      </c>
      <c r="B10" s="393">
        <v>38</v>
      </c>
      <c r="C10" s="394">
        <v>21</v>
      </c>
      <c r="D10" s="261">
        <v>36</v>
      </c>
      <c r="E10" s="77">
        <v>14</v>
      </c>
      <c r="F10" s="77">
        <v>37</v>
      </c>
      <c r="G10" s="82">
        <v>18</v>
      </c>
      <c r="H10" s="77">
        <v>38</v>
      </c>
      <c r="I10" s="82">
        <v>16</v>
      </c>
      <c r="J10" s="77">
        <v>36</v>
      </c>
      <c r="K10" s="82">
        <v>17</v>
      </c>
    </row>
    <row r="11" spans="1:14" ht="18" customHeight="1">
      <c r="A11" s="313" t="s">
        <v>949</v>
      </c>
      <c r="B11" s="393">
        <v>39</v>
      </c>
      <c r="C11" s="394">
        <v>23</v>
      </c>
      <c r="D11" s="261">
        <v>37</v>
      </c>
      <c r="E11" s="77">
        <v>20</v>
      </c>
      <c r="F11" s="77">
        <v>40</v>
      </c>
      <c r="G11" s="82">
        <v>21</v>
      </c>
      <c r="H11" s="77">
        <v>38</v>
      </c>
      <c r="I11" s="82">
        <v>20</v>
      </c>
      <c r="J11" s="77">
        <v>41</v>
      </c>
      <c r="K11" s="82">
        <v>23</v>
      </c>
    </row>
    <row r="12" spans="1:14" ht="18" customHeight="1">
      <c r="A12" s="313" t="s">
        <v>950</v>
      </c>
      <c r="B12" s="393">
        <v>37</v>
      </c>
      <c r="C12" s="394">
        <v>22</v>
      </c>
      <c r="D12" s="261">
        <v>37</v>
      </c>
      <c r="E12" s="77">
        <v>21</v>
      </c>
      <c r="F12" s="77">
        <v>38</v>
      </c>
      <c r="G12" s="82">
        <v>20</v>
      </c>
      <c r="H12" s="77">
        <v>36</v>
      </c>
      <c r="I12" s="82">
        <v>22</v>
      </c>
      <c r="J12" s="77">
        <v>40</v>
      </c>
      <c r="K12" s="82">
        <v>22</v>
      </c>
    </row>
    <row r="13" spans="1:14" ht="18" customHeight="1">
      <c r="A13" s="313" t="s">
        <v>951</v>
      </c>
      <c r="B13" s="393">
        <v>37</v>
      </c>
      <c r="C13" s="394">
        <v>24</v>
      </c>
      <c r="D13" s="261">
        <v>37</v>
      </c>
      <c r="E13" s="77">
        <v>25</v>
      </c>
      <c r="F13" s="77">
        <v>40</v>
      </c>
      <c r="G13" s="82">
        <v>25</v>
      </c>
      <c r="H13" s="77">
        <v>37</v>
      </c>
      <c r="I13" s="82">
        <v>25</v>
      </c>
      <c r="J13" s="77">
        <v>39</v>
      </c>
      <c r="K13" s="82">
        <v>24</v>
      </c>
    </row>
    <row r="14" spans="1:14" ht="18" customHeight="1">
      <c r="A14" s="313" t="s">
        <v>952</v>
      </c>
      <c r="B14" s="393">
        <v>35</v>
      </c>
      <c r="C14" s="394">
        <v>25</v>
      </c>
      <c r="D14" s="261">
        <v>37</v>
      </c>
      <c r="E14" s="77">
        <v>24</v>
      </c>
      <c r="F14" s="77">
        <v>37</v>
      </c>
      <c r="G14" s="82">
        <v>25</v>
      </c>
      <c r="H14" s="77">
        <v>36</v>
      </c>
      <c r="I14" s="82">
        <v>25</v>
      </c>
      <c r="J14" s="77">
        <v>35</v>
      </c>
      <c r="K14" s="82">
        <v>24</v>
      </c>
    </row>
    <row r="15" spans="1:14" ht="18" customHeight="1">
      <c r="A15" s="313" t="s">
        <v>953</v>
      </c>
      <c r="B15" s="393">
        <v>37</v>
      </c>
      <c r="C15" s="394">
        <v>25</v>
      </c>
      <c r="D15" s="261">
        <v>36</v>
      </c>
      <c r="E15" s="77">
        <v>24</v>
      </c>
      <c r="F15" s="77">
        <v>35</v>
      </c>
      <c r="G15" s="82">
        <v>24</v>
      </c>
      <c r="H15" s="77">
        <v>35</v>
      </c>
      <c r="I15" s="82">
        <v>25</v>
      </c>
      <c r="J15" s="77">
        <v>36</v>
      </c>
      <c r="K15" s="82">
        <v>25</v>
      </c>
    </row>
    <row r="16" spans="1:14" ht="18" customHeight="1">
      <c r="A16" s="313" t="s">
        <v>954</v>
      </c>
      <c r="B16" s="393">
        <v>35</v>
      </c>
      <c r="C16" s="394">
        <v>24</v>
      </c>
      <c r="D16" s="261">
        <v>35</v>
      </c>
      <c r="E16" s="77">
        <v>24</v>
      </c>
      <c r="F16" s="392" t="s">
        <v>857</v>
      </c>
      <c r="G16" s="374" t="s">
        <v>857</v>
      </c>
      <c r="H16" s="392">
        <v>37</v>
      </c>
      <c r="I16" s="374">
        <v>24</v>
      </c>
      <c r="J16" s="392">
        <v>37</v>
      </c>
      <c r="K16" s="374">
        <v>23</v>
      </c>
    </row>
    <row r="17" spans="1:11" ht="18" customHeight="1">
      <c r="A17" s="313" t="s">
        <v>955</v>
      </c>
      <c r="B17" s="393">
        <v>37</v>
      </c>
      <c r="C17" s="394">
        <v>21</v>
      </c>
      <c r="D17" s="261">
        <v>36</v>
      </c>
      <c r="E17" s="77">
        <v>19</v>
      </c>
      <c r="F17" s="77">
        <v>36</v>
      </c>
      <c r="G17" s="82">
        <v>19</v>
      </c>
      <c r="H17" s="77">
        <v>35</v>
      </c>
      <c r="I17" s="82">
        <v>21</v>
      </c>
      <c r="J17" s="77">
        <v>37</v>
      </c>
      <c r="K17" s="82">
        <v>21</v>
      </c>
    </row>
    <row r="18" spans="1:11" ht="18" customHeight="1">
      <c r="A18" s="313" t="s">
        <v>956</v>
      </c>
      <c r="B18" s="393">
        <v>35</v>
      </c>
      <c r="C18" s="394">
        <v>16</v>
      </c>
      <c r="D18" s="261">
        <v>35</v>
      </c>
      <c r="E18" s="77">
        <v>17</v>
      </c>
      <c r="F18" s="77">
        <v>34</v>
      </c>
      <c r="G18" s="82">
        <v>13</v>
      </c>
      <c r="H18" s="77">
        <v>33</v>
      </c>
      <c r="I18" s="82">
        <v>15</v>
      </c>
      <c r="J18" s="77">
        <v>34</v>
      </c>
      <c r="K18" s="82">
        <v>13</v>
      </c>
    </row>
    <row r="19" spans="1:11" ht="18" customHeight="1">
      <c r="A19" s="313" t="s">
        <v>957</v>
      </c>
      <c r="B19" s="441">
        <v>30</v>
      </c>
      <c r="C19" s="442">
        <v>10</v>
      </c>
      <c r="D19" s="261">
        <v>31</v>
      </c>
      <c r="E19" s="77">
        <v>10</v>
      </c>
      <c r="F19" s="78">
        <v>32</v>
      </c>
      <c r="G19" s="75">
        <v>10</v>
      </c>
      <c r="H19" s="78">
        <v>30</v>
      </c>
      <c r="I19" s="75">
        <v>12</v>
      </c>
      <c r="J19" s="78">
        <v>32</v>
      </c>
      <c r="K19" s="75">
        <v>10</v>
      </c>
    </row>
    <row r="20" spans="1:11" ht="21" customHeight="1">
      <c r="A20" s="651" t="s">
        <v>965</v>
      </c>
      <c r="B20" s="1012">
        <f>MAX(B8:B19)</f>
        <v>39</v>
      </c>
      <c r="C20" s="652">
        <f>MIN(C8:C19)</f>
        <v>10</v>
      </c>
      <c r="D20" s="1012">
        <f>MAX(D8:D19)</f>
        <v>37</v>
      </c>
      <c r="E20" s="652">
        <f>MIN(E8:E19)</f>
        <v>9</v>
      </c>
      <c r="F20" s="1012">
        <f>MAX(F8:F19)</f>
        <v>40</v>
      </c>
      <c r="G20" s="652">
        <f>MIN(G8:G19)</f>
        <v>10</v>
      </c>
      <c r="H20" s="1012">
        <f>MAX(H8:H19)</f>
        <v>38</v>
      </c>
      <c r="I20" s="652">
        <f>MIN(I8:I19)</f>
        <v>7</v>
      </c>
      <c r="J20" s="1012">
        <f>MAX(J8:J19)</f>
        <v>41</v>
      </c>
      <c r="K20" s="652">
        <f>MIN(K8:K19)</f>
        <v>10</v>
      </c>
    </row>
    <row r="21" spans="1:11">
      <c r="H21" s="247"/>
      <c r="I21" s="247"/>
      <c r="K21" s="1134" t="s">
        <v>76</v>
      </c>
    </row>
    <row r="22" spans="1:11" ht="10.5" customHeight="1">
      <c r="I22" s="115"/>
      <c r="J22" s="115"/>
      <c r="K22" s="115"/>
    </row>
    <row r="23" spans="1:11">
      <c r="A23" s="1708" t="s">
        <v>280</v>
      </c>
      <c r="B23" s="1708"/>
      <c r="C23" s="1708"/>
      <c r="D23" s="1708"/>
      <c r="E23" s="1708"/>
      <c r="F23" s="1708"/>
      <c r="G23" s="1708"/>
      <c r="H23" s="1708"/>
      <c r="I23" s="1708"/>
      <c r="J23" s="1708"/>
      <c r="K23" s="1708"/>
    </row>
    <row r="24" spans="1:11" ht="33.75" customHeight="1">
      <c r="A24" s="1736" t="s">
        <v>456</v>
      </c>
      <c r="B24" s="1736"/>
      <c r="C24" s="1736"/>
      <c r="D24" s="1736"/>
      <c r="E24" s="1736"/>
      <c r="F24" s="1736"/>
      <c r="G24" s="1736"/>
      <c r="H24" s="1736"/>
      <c r="I24" s="1736"/>
      <c r="J24" s="1736"/>
      <c r="K24" s="1736"/>
    </row>
    <row r="25" spans="1:11" ht="15" customHeight="1">
      <c r="A25" s="1372" t="s">
        <v>1402</v>
      </c>
      <c r="B25" s="6"/>
      <c r="C25" s="995"/>
      <c r="D25" s="599"/>
      <c r="E25" s="599"/>
      <c r="F25" s="599"/>
      <c r="G25" s="599"/>
      <c r="H25" s="599"/>
      <c r="I25" s="599"/>
      <c r="K25" s="1008" t="s">
        <v>963</v>
      </c>
    </row>
    <row r="26" spans="1:11" ht="16.5" customHeight="1">
      <c r="A26" s="1733" t="s">
        <v>935</v>
      </c>
      <c r="B26" s="1732">
        <v>2010</v>
      </c>
      <c r="C26" s="1714"/>
      <c r="D26" s="1732">
        <v>2011</v>
      </c>
      <c r="E26" s="1714"/>
      <c r="F26" s="1732">
        <v>2012</v>
      </c>
      <c r="G26" s="1714"/>
      <c r="H26" s="1732">
        <v>2013</v>
      </c>
      <c r="I26" s="1714"/>
      <c r="J26" s="1732">
        <v>2014</v>
      </c>
      <c r="K26" s="1714"/>
    </row>
    <row r="27" spans="1:11" ht="16.5" customHeight="1">
      <c r="A27" s="1734"/>
      <c r="B27" s="260" t="s">
        <v>964</v>
      </c>
      <c r="C27" s="338" t="s">
        <v>964</v>
      </c>
      <c r="D27" s="260" t="s">
        <v>964</v>
      </c>
      <c r="E27" s="338" t="s">
        <v>964</v>
      </c>
      <c r="F27" s="260" t="s">
        <v>964</v>
      </c>
      <c r="G27" s="338" t="s">
        <v>964</v>
      </c>
      <c r="H27" s="260" t="s">
        <v>964</v>
      </c>
      <c r="I27" s="338" t="s">
        <v>964</v>
      </c>
      <c r="J27" s="617" t="s">
        <v>964</v>
      </c>
      <c r="K27" s="338" t="s">
        <v>964</v>
      </c>
    </row>
    <row r="28" spans="1:11" ht="16.5" customHeight="1">
      <c r="A28" s="1735"/>
      <c r="B28" s="454" t="s">
        <v>941</v>
      </c>
      <c r="C28" s="457" t="s">
        <v>942</v>
      </c>
      <c r="D28" s="454" t="s">
        <v>941</v>
      </c>
      <c r="E28" s="457" t="s">
        <v>942</v>
      </c>
      <c r="F28" s="454" t="s">
        <v>941</v>
      </c>
      <c r="G28" s="457" t="s">
        <v>942</v>
      </c>
      <c r="H28" s="454" t="s">
        <v>941</v>
      </c>
      <c r="I28" s="457" t="s">
        <v>942</v>
      </c>
      <c r="J28" s="454" t="s">
        <v>941</v>
      </c>
      <c r="K28" s="457" t="s">
        <v>942</v>
      </c>
    </row>
    <row r="29" spans="1:11" ht="16.5" customHeight="1">
      <c r="A29" s="196" t="s">
        <v>928</v>
      </c>
      <c r="B29" s="196" t="s">
        <v>929</v>
      </c>
      <c r="C29" s="304" t="s">
        <v>930</v>
      </c>
      <c r="D29" s="196" t="s">
        <v>931</v>
      </c>
      <c r="E29" s="304" t="s">
        <v>932</v>
      </c>
      <c r="F29" s="196" t="s">
        <v>933</v>
      </c>
      <c r="G29" s="304" t="s">
        <v>934</v>
      </c>
      <c r="H29" s="196" t="s">
        <v>959</v>
      </c>
      <c r="I29" s="304" t="s">
        <v>960</v>
      </c>
      <c r="J29" s="196" t="s">
        <v>961</v>
      </c>
      <c r="K29" s="304" t="s">
        <v>962</v>
      </c>
    </row>
    <row r="30" spans="1:11" ht="18" customHeight="1">
      <c r="A30" s="313" t="s">
        <v>938</v>
      </c>
      <c r="B30" s="537">
        <v>25</v>
      </c>
      <c r="C30" s="1338">
        <v>11</v>
      </c>
      <c r="D30" s="261">
        <v>26</v>
      </c>
      <c r="E30" s="77">
        <v>12</v>
      </c>
      <c r="F30" s="296">
        <v>25</v>
      </c>
      <c r="G30" s="305">
        <v>15</v>
      </c>
      <c r="H30" s="296">
        <v>26</v>
      </c>
      <c r="I30" s="305">
        <v>12</v>
      </c>
      <c r="J30" s="296">
        <v>26</v>
      </c>
      <c r="K30" s="305">
        <v>13</v>
      </c>
    </row>
    <row r="31" spans="1:11" ht="18" customHeight="1">
      <c r="A31" s="313" t="s">
        <v>939</v>
      </c>
      <c r="B31" s="392">
        <v>30</v>
      </c>
      <c r="C31" s="374">
        <v>17</v>
      </c>
      <c r="D31" s="261">
        <v>30</v>
      </c>
      <c r="E31" s="77">
        <v>17</v>
      </c>
      <c r="F31" s="77">
        <v>30</v>
      </c>
      <c r="G31" s="82">
        <v>16</v>
      </c>
      <c r="H31" s="77">
        <v>29</v>
      </c>
      <c r="I31" s="82">
        <v>16</v>
      </c>
      <c r="J31" s="77">
        <v>29</v>
      </c>
      <c r="K31" s="82">
        <v>16</v>
      </c>
    </row>
    <row r="32" spans="1:11" ht="18" customHeight="1">
      <c r="A32" s="313" t="s">
        <v>940</v>
      </c>
      <c r="B32" s="392">
        <v>34</v>
      </c>
      <c r="C32" s="374">
        <v>24</v>
      </c>
      <c r="D32" s="261">
        <v>33</v>
      </c>
      <c r="E32" s="77">
        <v>21</v>
      </c>
      <c r="F32" s="77">
        <v>34</v>
      </c>
      <c r="G32" s="82">
        <v>23</v>
      </c>
      <c r="H32" s="77">
        <v>34</v>
      </c>
      <c r="I32" s="82">
        <v>22</v>
      </c>
      <c r="J32" s="77">
        <v>34</v>
      </c>
      <c r="K32" s="82">
        <v>21</v>
      </c>
    </row>
    <row r="33" spans="1:11" ht="18" customHeight="1">
      <c r="A33" s="313" t="s">
        <v>949</v>
      </c>
      <c r="B33" s="392">
        <v>35</v>
      </c>
      <c r="C33" s="374">
        <v>27</v>
      </c>
      <c r="D33" s="261">
        <v>34</v>
      </c>
      <c r="E33" s="77">
        <v>24</v>
      </c>
      <c r="F33" s="77">
        <v>35</v>
      </c>
      <c r="G33" s="82">
        <v>26</v>
      </c>
      <c r="H33" s="77">
        <v>35</v>
      </c>
      <c r="I33" s="82">
        <v>25</v>
      </c>
      <c r="J33" s="77">
        <v>37</v>
      </c>
      <c r="K33" s="82">
        <v>27</v>
      </c>
    </row>
    <row r="34" spans="1:11" ht="18" customHeight="1">
      <c r="A34" s="313" t="s">
        <v>950</v>
      </c>
      <c r="B34" s="392">
        <v>34</v>
      </c>
      <c r="C34" s="374">
        <v>26</v>
      </c>
      <c r="D34" s="261">
        <v>34</v>
      </c>
      <c r="E34" s="77">
        <v>26</v>
      </c>
      <c r="F34" s="77">
        <v>36</v>
      </c>
      <c r="G34" s="82">
        <v>27</v>
      </c>
      <c r="H34" s="77">
        <v>34</v>
      </c>
      <c r="I34" s="82">
        <v>27</v>
      </c>
      <c r="J34" s="77">
        <v>35</v>
      </c>
      <c r="K34" s="82">
        <v>27</v>
      </c>
    </row>
    <row r="35" spans="1:11" ht="18" customHeight="1">
      <c r="A35" s="313" t="s">
        <v>951</v>
      </c>
      <c r="B35" s="392">
        <v>34</v>
      </c>
      <c r="C35" s="374">
        <v>27</v>
      </c>
      <c r="D35" s="261">
        <v>34</v>
      </c>
      <c r="E35" s="77">
        <v>27</v>
      </c>
      <c r="F35" s="77">
        <v>35</v>
      </c>
      <c r="G35" s="82">
        <v>28</v>
      </c>
      <c r="H35" s="77">
        <v>34</v>
      </c>
      <c r="I35" s="82">
        <v>27</v>
      </c>
      <c r="J35" s="77">
        <v>34</v>
      </c>
      <c r="K35" s="82">
        <v>28</v>
      </c>
    </row>
    <row r="36" spans="1:11" ht="18" customHeight="1">
      <c r="A36" s="313" t="s">
        <v>952</v>
      </c>
      <c r="B36" s="392">
        <v>33</v>
      </c>
      <c r="C36" s="374">
        <v>27</v>
      </c>
      <c r="D36" s="261">
        <v>33</v>
      </c>
      <c r="E36" s="77">
        <v>27</v>
      </c>
      <c r="F36" s="77">
        <v>33</v>
      </c>
      <c r="G36" s="82">
        <v>27</v>
      </c>
      <c r="H36" s="77">
        <v>33</v>
      </c>
      <c r="I36" s="82">
        <v>27</v>
      </c>
      <c r="J36" s="77">
        <v>33</v>
      </c>
      <c r="K36" s="82">
        <v>27</v>
      </c>
    </row>
    <row r="37" spans="1:11" ht="18" customHeight="1">
      <c r="A37" s="313" t="s">
        <v>953</v>
      </c>
      <c r="B37" s="392">
        <v>33</v>
      </c>
      <c r="C37" s="374">
        <v>26</v>
      </c>
      <c r="D37" s="261">
        <v>32</v>
      </c>
      <c r="E37" s="77">
        <v>26</v>
      </c>
      <c r="F37" s="77">
        <v>33</v>
      </c>
      <c r="G37" s="82">
        <v>26</v>
      </c>
      <c r="H37" s="77">
        <v>32</v>
      </c>
      <c r="I37" s="82">
        <v>26</v>
      </c>
      <c r="J37" s="77">
        <v>33</v>
      </c>
      <c r="K37" s="82">
        <v>27</v>
      </c>
    </row>
    <row r="38" spans="1:11" ht="18" customHeight="1">
      <c r="A38" s="313" t="s">
        <v>954</v>
      </c>
      <c r="B38" s="392">
        <v>33</v>
      </c>
      <c r="C38" s="374">
        <v>26</v>
      </c>
      <c r="D38" s="261">
        <v>32</v>
      </c>
      <c r="E38" s="77">
        <v>26</v>
      </c>
      <c r="F38" s="392" t="s">
        <v>857</v>
      </c>
      <c r="G38" s="374" t="s">
        <v>857</v>
      </c>
      <c r="H38" s="392">
        <v>34</v>
      </c>
      <c r="I38" s="374">
        <v>26</v>
      </c>
      <c r="J38" s="392">
        <v>34</v>
      </c>
      <c r="K38" s="374">
        <v>26</v>
      </c>
    </row>
    <row r="39" spans="1:11" ht="18" customHeight="1">
      <c r="A39" s="313" t="s">
        <v>955</v>
      </c>
      <c r="B39" s="392">
        <v>33</v>
      </c>
      <c r="C39" s="374">
        <v>24</v>
      </c>
      <c r="D39" s="261">
        <v>34</v>
      </c>
      <c r="E39" s="77">
        <v>25</v>
      </c>
      <c r="F39" s="77">
        <v>33</v>
      </c>
      <c r="G39" s="82">
        <v>23</v>
      </c>
      <c r="H39" s="77">
        <v>31</v>
      </c>
      <c r="I39" s="82">
        <v>25</v>
      </c>
      <c r="J39" s="77">
        <v>33</v>
      </c>
      <c r="K39" s="82">
        <v>24</v>
      </c>
    </row>
    <row r="40" spans="1:11" ht="18" customHeight="1">
      <c r="A40" s="313" t="s">
        <v>956</v>
      </c>
      <c r="B40" s="392">
        <v>33</v>
      </c>
      <c r="C40" s="374">
        <v>21</v>
      </c>
      <c r="D40" s="261">
        <v>32</v>
      </c>
      <c r="E40" s="77">
        <v>19</v>
      </c>
      <c r="F40" s="77">
        <v>30</v>
      </c>
      <c r="G40" s="82">
        <v>19</v>
      </c>
      <c r="H40" s="77">
        <v>30</v>
      </c>
      <c r="I40" s="82">
        <v>18</v>
      </c>
      <c r="J40" s="77">
        <v>31</v>
      </c>
      <c r="K40" s="82">
        <v>19</v>
      </c>
    </row>
    <row r="41" spans="1:11" ht="18" customHeight="1">
      <c r="A41" s="314" t="s">
        <v>957</v>
      </c>
      <c r="B41" s="443">
        <v>27</v>
      </c>
      <c r="C41" s="444">
        <v>14</v>
      </c>
      <c r="D41" s="78">
        <v>27</v>
      </c>
      <c r="E41" s="75">
        <v>15</v>
      </c>
      <c r="F41" s="78">
        <v>27</v>
      </c>
      <c r="G41" s="75">
        <v>14</v>
      </c>
      <c r="H41" s="78">
        <v>28</v>
      </c>
      <c r="I41" s="75">
        <v>15</v>
      </c>
      <c r="J41" s="78">
        <v>27</v>
      </c>
      <c r="K41" s="75">
        <v>14</v>
      </c>
    </row>
    <row r="42" spans="1:11">
      <c r="B42" s="30" t="s">
        <v>1190</v>
      </c>
      <c r="D42" s="7"/>
      <c r="E42" s="7"/>
      <c r="J42" s="1077"/>
      <c r="K42" s="1008" t="s">
        <v>76</v>
      </c>
    </row>
    <row r="43" spans="1:11">
      <c r="D43" s="7"/>
      <c r="E43" s="7"/>
      <c r="I43" s="66"/>
      <c r="J43" s="98"/>
      <c r="K43" s="66"/>
    </row>
    <row r="47" spans="1:11">
      <c r="B47" s="572"/>
    </row>
  </sheetData>
  <mergeCells count="16">
    <mergeCell ref="A1:K1"/>
    <mergeCell ref="A2:K3"/>
    <mergeCell ref="J26:K26"/>
    <mergeCell ref="A26:A28"/>
    <mergeCell ref="A5:A6"/>
    <mergeCell ref="A23:K23"/>
    <mergeCell ref="A24:K24"/>
    <mergeCell ref="H26:I26"/>
    <mergeCell ref="B26:C26"/>
    <mergeCell ref="D26:E26"/>
    <mergeCell ref="F26:G26"/>
    <mergeCell ref="J5:K5"/>
    <mergeCell ref="B5:C5"/>
    <mergeCell ref="D5:E5"/>
    <mergeCell ref="F5:G5"/>
    <mergeCell ref="H5:I5"/>
  </mergeCells>
  <phoneticPr fontId="0" type="noConversion"/>
  <conditionalFormatting sqref="W1:IV1048576 O1:V4 O6:V65536 A1:N1048576">
    <cfRule type="cellIs" dxfId="33" priority="1" stopIfTrue="1" operator="equal">
      <formula>".."</formula>
    </cfRule>
  </conditionalFormatting>
  <printOptions horizontalCentered="1"/>
  <pageMargins left="0.1" right="0.1" top="0.86" bottom="0.1" header="0.36" footer="0.1"/>
  <pageSetup paperSize="9" orientation="portrait" blackAndWhite="1" r:id="rId1"/>
  <headerFooter alignWithMargins="0"/>
</worksheet>
</file>

<file path=xl/worksheets/sheet70.xml><?xml version="1.0" encoding="utf-8"?>
<worksheet xmlns="http://schemas.openxmlformats.org/spreadsheetml/2006/main" xmlns:r="http://schemas.openxmlformats.org/officeDocument/2006/relationships">
  <dimension ref="A1:U32"/>
  <sheetViews>
    <sheetView topLeftCell="A13" workbookViewId="0">
      <selection activeCell="J11" sqref="J11"/>
    </sheetView>
  </sheetViews>
  <sheetFormatPr defaultRowHeight="12.75"/>
  <cols>
    <col min="1" max="1" width="21" customWidth="1"/>
    <col min="2" max="11" width="10.5703125" customWidth="1"/>
    <col min="12" max="21" width="6.28515625" customWidth="1"/>
  </cols>
  <sheetData>
    <row r="1" spans="1:21" ht="12.75" customHeight="1">
      <c r="A1" s="1739" t="s">
        <v>815</v>
      </c>
      <c r="B1" s="1739"/>
      <c r="C1" s="1739"/>
      <c r="D1" s="1739"/>
      <c r="E1" s="1739"/>
      <c r="F1" s="1739"/>
      <c r="G1" s="1739"/>
      <c r="H1" s="1739"/>
      <c r="I1" s="1739"/>
      <c r="J1" s="1739"/>
      <c r="K1" s="1739"/>
      <c r="L1" s="567"/>
      <c r="M1" s="567"/>
      <c r="N1" s="567"/>
      <c r="O1" s="567"/>
      <c r="P1" s="567"/>
      <c r="Q1" s="567"/>
      <c r="R1" s="567"/>
      <c r="S1" s="567"/>
      <c r="T1" s="567"/>
      <c r="U1" s="567"/>
    </row>
    <row r="2" spans="1:21" ht="33" customHeight="1">
      <c r="A2" s="1730" t="str">
        <f>CONCATENATE("Offences reported, Cases tried, Persons convicted and acquitted for different classes of offence 
in the district of ",District!$A$1)</f>
        <v>Offences reported, Cases tried, Persons convicted and acquitted for different classes of offence 
in the district of South 24-Parganas</v>
      </c>
      <c r="B2" s="1730"/>
      <c r="C2" s="1730"/>
      <c r="D2" s="1730"/>
      <c r="E2" s="1730"/>
      <c r="F2" s="1730"/>
      <c r="G2" s="1730"/>
      <c r="H2" s="1730"/>
      <c r="I2" s="1730"/>
      <c r="J2" s="1730"/>
      <c r="K2" s="1730"/>
      <c r="L2" s="566"/>
      <c r="M2" s="566"/>
      <c r="N2" s="566"/>
      <c r="O2" s="566"/>
      <c r="P2" s="566"/>
      <c r="Q2" s="566"/>
      <c r="R2" s="566"/>
      <c r="S2" s="566"/>
      <c r="T2" s="566"/>
      <c r="U2" s="566"/>
    </row>
    <row r="3" spans="1:21" ht="12" customHeight="1">
      <c r="B3" s="44"/>
      <c r="C3" s="44"/>
      <c r="D3" s="44"/>
      <c r="E3" s="44"/>
      <c r="F3" s="44"/>
      <c r="G3" s="44"/>
      <c r="H3" s="44"/>
      <c r="I3" s="44"/>
      <c r="J3" s="37"/>
      <c r="K3" s="92" t="s">
        <v>977</v>
      </c>
      <c r="L3" s="7"/>
      <c r="M3" s="7"/>
      <c r="N3" s="7"/>
      <c r="O3" s="7"/>
      <c r="P3" s="7"/>
      <c r="Q3" s="7"/>
      <c r="R3" s="7"/>
      <c r="S3" s="7"/>
      <c r="T3" s="99"/>
    </row>
    <row r="4" spans="1:21" ht="15" customHeight="1">
      <c r="A4" s="2235" t="s">
        <v>1810</v>
      </c>
      <c r="B4" s="2237" t="s">
        <v>1010</v>
      </c>
      <c r="C4" s="2238"/>
      <c r="D4" s="2238"/>
      <c r="E4" s="2238"/>
      <c r="F4" s="2239"/>
      <c r="G4" s="2237" t="s">
        <v>1011</v>
      </c>
      <c r="H4" s="2240"/>
      <c r="I4" s="2240"/>
      <c r="J4" s="2240"/>
      <c r="K4" s="2241"/>
    </row>
    <row r="5" spans="1:21" ht="15" customHeight="1">
      <c r="A5" s="2236"/>
      <c r="B5" s="1494">
        <v>2010</v>
      </c>
      <c r="C5" s="1494">
        <v>2011</v>
      </c>
      <c r="D5" s="1495">
        <v>2012</v>
      </c>
      <c r="E5" s="1495">
        <v>2013</v>
      </c>
      <c r="F5" s="1495">
        <v>2014</v>
      </c>
      <c r="G5" s="1494">
        <v>2010</v>
      </c>
      <c r="H5" s="1494">
        <v>2011</v>
      </c>
      <c r="I5" s="1495">
        <v>2012</v>
      </c>
      <c r="J5" s="1495">
        <v>2013</v>
      </c>
      <c r="K5" s="1495">
        <v>2014</v>
      </c>
    </row>
    <row r="6" spans="1:21" ht="15" customHeight="1">
      <c r="A6" s="118" t="s">
        <v>928</v>
      </c>
      <c r="B6" s="118" t="s">
        <v>929</v>
      </c>
      <c r="C6" s="199" t="s">
        <v>930</v>
      </c>
      <c r="D6" s="214" t="s">
        <v>931</v>
      </c>
      <c r="E6" s="199" t="s">
        <v>932</v>
      </c>
      <c r="F6" s="120" t="s">
        <v>933</v>
      </c>
      <c r="G6" s="118" t="s">
        <v>934</v>
      </c>
      <c r="H6" s="199" t="s">
        <v>959</v>
      </c>
      <c r="I6" s="119" t="s">
        <v>960</v>
      </c>
      <c r="J6" s="199" t="s">
        <v>961</v>
      </c>
      <c r="K6" s="120" t="s">
        <v>962</v>
      </c>
    </row>
    <row r="7" spans="1:21" ht="16.5" customHeight="1">
      <c r="A7" s="522" t="s">
        <v>1813</v>
      </c>
      <c r="B7" s="77">
        <v>263</v>
      </c>
      <c r="C7" s="514">
        <v>247</v>
      </c>
      <c r="D7" s="514">
        <v>224</v>
      </c>
      <c r="E7" s="513">
        <v>226</v>
      </c>
      <c r="F7" s="513">
        <v>248</v>
      </c>
      <c r="G7" s="764">
        <v>182</v>
      </c>
      <c r="H7" s="513">
        <v>66</v>
      </c>
      <c r="I7" s="513">
        <v>241</v>
      </c>
      <c r="J7" s="513">
        <v>204</v>
      </c>
      <c r="K7" s="513">
        <v>183</v>
      </c>
    </row>
    <row r="8" spans="1:21" ht="16.5" customHeight="1">
      <c r="A8" s="264" t="s">
        <v>1814</v>
      </c>
      <c r="B8" s="77">
        <v>12</v>
      </c>
      <c r="C8" s="514">
        <v>15</v>
      </c>
      <c r="D8" s="514">
        <v>34</v>
      </c>
      <c r="E8" s="513">
        <v>18</v>
      </c>
      <c r="F8" s="513">
        <v>33</v>
      </c>
      <c r="G8" s="513">
        <v>12</v>
      </c>
      <c r="H8" s="513">
        <v>6</v>
      </c>
      <c r="I8" s="513">
        <v>22</v>
      </c>
      <c r="J8" s="513">
        <v>15</v>
      </c>
      <c r="K8" s="513">
        <v>30</v>
      </c>
    </row>
    <row r="9" spans="1:21" ht="16.5" customHeight="1">
      <c r="A9" s="264" t="s">
        <v>1815</v>
      </c>
      <c r="B9" s="77">
        <v>39</v>
      </c>
      <c r="C9" s="514">
        <v>32</v>
      </c>
      <c r="D9" s="514">
        <v>35</v>
      </c>
      <c r="E9" s="513">
        <v>41</v>
      </c>
      <c r="F9" s="513">
        <v>43</v>
      </c>
      <c r="G9" s="513">
        <v>34</v>
      </c>
      <c r="H9" s="513">
        <v>22</v>
      </c>
      <c r="I9" s="513">
        <v>25</v>
      </c>
      <c r="J9" s="513">
        <v>33</v>
      </c>
      <c r="K9" s="513">
        <v>37</v>
      </c>
    </row>
    <row r="10" spans="1:21" ht="16.5" customHeight="1">
      <c r="A10" s="265" t="s">
        <v>1816</v>
      </c>
      <c r="B10" s="77">
        <v>9</v>
      </c>
      <c r="C10" s="514">
        <v>4</v>
      </c>
      <c r="D10" s="514">
        <v>51</v>
      </c>
      <c r="E10" s="513">
        <v>134</v>
      </c>
      <c r="F10" s="513">
        <v>135</v>
      </c>
      <c r="G10" s="513">
        <v>3</v>
      </c>
      <c r="H10" s="513">
        <v>1</v>
      </c>
      <c r="I10" s="513">
        <v>20</v>
      </c>
      <c r="J10" s="513">
        <v>74</v>
      </c>
      <c r="K10" s="513">
        <v>36</v>
      </c>
    </row>
    <row r="11" spans="1:21" ht="16.5" customHeight="1">
      <c r="A11" s="265" t="s">
        <v>1817</v>
      </c>
      <c r="B11" s="77">
        <v>1227</v>
      </c>
      <c r="C11" s="514">
        <v>1445</v>
      </c>
      <c r="D11" s="514">
        <v>1976</v>
      </c>
      <c r="E11" s="513">
        <v>1914</v>
      </c>
      <c r="F11" s="513">
        <v>2164</v>
      </c>
      <c r="G11" s="513">
        <v>1174</v>
      </c>
      <c r="H11" s="513">
        <v>1004</v>
      </c>
      <c r="I11" s="513">
        <v>1779</v>
      </c>
      <c r="J11" s="513">
        <v>1472</v>
      </c>
      <c r="K11" s="513">
        <v>1990</v>
      </c>
    </row>
    <row r="12" spans="1:21" ht="16.5" customHeight="1">
      <c r="A12" s="265" t="s">
        <v>1818</v>
      </c>
      <c r="B12" s="77">
        <v>2732</v>
      </c>
      <c r="C12" s="514">
        <v>2288</v>
      </c>
      <c r="D12" s="514">
        <v>1279</v>
      </c>
      <c r="E12" s="513">
        <v>1226</v>
      </c>
      <c r="F12" s="513">
        <v>1523</v>
      </c>
      <c r="G12" s="513">
        <v>953</v>
      </c>
      <c r="H12" s="513">
        <v>1813</v>
      </c>
      <c r="I12" s="513">
        <v>467</v>
      </c>
      <c r="J12" s="513">
        <v>459</v>
      </c>
      <c r="K12" s="513">
        <v>459</v>
      </c>
    </row>
    <row r="13" spans="1:21" ht="16.5" customHeight="1">
      <c r="A13" s="265" t="s">
        <v>993</v>
      </c>
      <c r="B13" s="77" t="s">
        <v>1229</v>
      </c>
      <c r="C13" s="1314" t="s">
        <v>1229</v>
      </c>
      <c r="D13" s="1314" t="s">
        <v>1229</v>
      </c>
      <c r="E13" s="1119" t="s">
        <v>1229</v>
      </c>
      <c r="F13" s="1119" t="s">
        <v>1229</v>
      </c>
      <c r="G13" s="513" t="s">
        <v>1229</v>
      </c>
      <c r="H13" s="1119" t="s">
        <v>1229</v>
      </c>
      <c r="I13" s="513" t="s">
        <v>1229</v>
      </c>
      <c r="J13" s="513" t="s">
        <v>1229</v>
      </c>
      <c r="K13" s="513" t="s">
        <v>1229</v>
      </c>
    </row>
    <row r="14" spans="1:21" ht="16.5" customHeight="1">
      <c r="A14" s="265" t="s">
        <v>1819</v>
      </c>
      <c r="B14" s="77">
        <v>4121</v>
      </c>
      <c r="C14" s="514">
        <v>4101</v>
      </c>
      <c r="D14" s="514">
        <v>4301</v>
      </c>
      <c r="E14" s="513">
        <v>4420</v>
      </c>
      <c r="F14" s="513">
        <v>5542</v>
      </c>
      <c r="G14" s="513">
        <v>4045</v>
      </c>
      <c r="H14" s="513">
        <v>2585</v>
      </c>
      <c r="I14" s="513">
        <v>4071</v>
      </c>
      <c r="J14" s="513">
        <v>3375</v>
      </c>
      <c r="K14" s="513">
        <v>4172</v>
      </c>
    </row>
    <row r="15" spans="1:21" ht="16.5" customHeight="1">
      <c r="A15" s="265" t="s">
        <v>1111</v>
      </c>
      <c r="B15" s="78">
        <v>7357</v>
      </c>
      <c r="C15" s="514">
        <v>7956</v>
      </c>
      <c r="D15" s="514">
        <v>8443</v>
      </c>
      <c r="E15" s="513">
        <v>9510</v>
      </c>
      <c r="F15" s="513">
        <v>12717</v>
      </c>
      <c r="G15" s="513">
        <v>5164</v>
      </c>
      <c r="H15" s="513">
        <v>5280</v>
      </c>
      <c r="I15" s="513">
        <v>7501</v>
      </c>
      <c r="J15" s="513">
        <v>9298</v>
      </c>
      <c r="K15" s="513">
        <v>8490</v>
      </c>
    </row>
    <row r="16" spans="1:21" ht="16.5" customHeight="1">
      <c r="A16" s="297" t="s">
        <v>958</v>
      </c>
      <c r="B16" s="297">
        <f t="shared" ref="B16:K16" si="0">SUM(B7:B15)</f>
        <v>15760</v>
      </c>
      <c r="C16" s="266">
        <f t="shared" si="0"/>
        <v>16088</v>
      </c>
      <c r="D16" s="297">
        <f t="shared" si="0"/>
        <v>16343</v>
      </c>
      <c r="E16" s="297">
        <f t="shared" si="0"/>
        <v>17489</v>
      </c>
      <c r="F16" s="297">
        <f t="shared" si="0"/>
        <v>22405</v>
      </c>
      <c r="G16" s="297">
        <f t="shared" si="0"/>
        <v>11567</v>
      </c>
      <c r="H16" s="266">
        <f t="shared" si="0"/>
        <v>10777</v>
      </c>
      <c r="I16" s="297">
        <f t="shared" si="0"/>
        <v>14126</v>
      </c>
      <c r="J16" s="267">
        <f t="shared" si="0"/>
        <v>14930</v>
      </c>
      <c r="K16" s="267">
        <f t="shared" si="0"/>
        <v>15397</v>
      </c>
    </row>
    <row r="17" spans="1:20" ht="15" customHeight="1">
      <c r="A17" s="461"/>
      <c r="B17" s="461"/>
      <c r="C17" s="461"/>
      <c r="D17" s="461"/>
      <c r="E17" s="461"/>
      <c r="F17" s="461"/>
      <c r="G17" s="461"/>
      <c r="H17" s="461"/>
      <c r="I17" s="461"/>
      <c r="J17" s="461"/>
      <c r="K17" s="461"/>
    </row>
    <row r="18" spans="1:20" ht="12.75" customHeight="1">
      <c r="A18" s="1739" t="s">
        <v>1333</v>
      </c>
      <c r="B18" s="1739"/>
      <c r="C18" s="1739"/>
      <c r="D18" s="1739"/>
      <c r="E18" s="1739"/>
      <c r="F18" s="1739"/>
      <c r="G18" s="1739"/>
      <c r="H18" s="1739"/>
      <c r="I18" s="1739"/>
      <c r="J18" s="1739"/>
      <c r="K18" s="1739"/>
      <c r="N18" s="98"/>
      <c r="O18" s="98"/>
      <c r="P18" s="98"/>
      <c r="Q18" s="98"/>
      <c r="R18" s="98"/>
      <c r="S18" s="98"/>
      <c r="T18" s="98"/>
    </row>
    <row r="19" spans="1:20" ht="15" customHeight="1">
      <c r="A19" s="2235" t="s">
        <v>1810</v>
      </c>
      <c r="B19" s="2237" t="s">
        <v>1012</v>
      </c>
      <c r="C19" s="2240"/>
      <c r="D19" s="2240"/>
      <c r="E19" s="2240"/>
      <c r="F19" s="2241"/>
      <c r="G19" s="2242" t="s">
        <v>1013</v>
      </c>
      <c r="H19" s="2242"/>
      <c r="I19" s="2242"/>
      <c r="J19" s="2242"/>
      <c r="K19" s="2109"/>
    </row>
    <row r="20" spans="1:20" ht="15" customHeight="1">
      <c r="A20" s="2236"/>
      <c r="B20" s="1494">
        <v>2010</v>
      </c>
      <c r="C20" s="1494">
        <v>2011</v>
      </c>
      <c r="D20" s="1495">
        <v>2012</v>
      </c>
      <c r="E20" s="1495">
        <v>2013</v>
      </c>
      <c r="F20" s="1495">
        <v>2014</v>
      </c>
      <c r="G20" s="1494">
        <v>2010</v>
      </c>
      <c r="H20" s="1494">
        <v>2011</v>
      </c>
      <c r="I20" s="1495">
        <v>2012</v>
      </c>
      <c r="J20" s="1495">
        <v>2013</v>
      </c>
      <c r="K20" s="1495">
        <v>2014</v>
      </c>
    </row>
    <row r="21" spans="1:20" ht="15" customHeight="1">
      <c r="A21" s="118" t="s">
        <v>928</v>
      </c>
      <c r="B21" s="118" t="s">
        <v>1037</v>
      </c>
      <c r="C21" s="123" t="s">
        <v>1038</v>
      </c>
      <c r="D21" s="214" t="s">
        <v>1039</v>
      </c>
      <c r="E21" s="123" t="s">
        <v>1040</v>
      </c>
      <c r="F21" s="122" t="s">
        <v>1041</v>
      </c>
      <c r="G21" s="214" t="s">
        <v>1042</v>
      </c>
      <c r="H21" s="123" t="s">
        <v>1044</v>
      </c>
      <c r="I21" s="214" t="s">
        <v>1043</v>
      </c>
      <c r="J21" s="123" t="s">
        <v>1286</v>
      </c>
      <c r="K21" s="122" t="s">
        <v>1288</v>
      </c>
    </row>
    <row r="22" spans="1:20" ht="16.5" customHeight="1">
      <c r="A22" s="522" t="s">
        <v>1813</v>
      </c>
      <c r="B22" s="296">
        <v>14</v>
      </c>
      <c r="C22" s="82">
        <v>1</v>
      </c>
      <c r="D22" s="82">
        <v>6</v>
      </c>
      <c r="E22" s="82">
        <v>10</v>
      </c>
      <c r="F22" s="82">
        <v>7</v>
      </c>
      <c r="G22" s="77">
        <v>8</v>
      </c>
      <c r="H22" s="82">
        <v>3</v>
      </c>
      <c r="I22" s="82">
        <v>72</v>
      </c>
      <c r="J22" s="82">
        <v>248</v>
      </c>
      <c r="K22" s="82">
        <v>133</v>
      </c>
    </row>
    <row r="23" spans="1:20" ht="16.5" customHeight="1">
      <c r="A23" s="264" t="s">
        <v>1814</v>
      </c>
      <c r="B23" s="702" t="s">
        <v>1229</v>
      </c>
      <c r="C23" s="1120" t="s">
        <v>1229</v>
      </c>
      <c r="D23" s="1120">
        <v>7</v>
      </c>
      <c r="E23" s="82" t="s">
        <v>1229</v>
      </c>
      <c r="F23" s="82">
        <v>10</v>
      </c>
      <c r="G23" s="77" t="s">
        <v>1229</v>
      </c>
      <c r="H23" s="82">
        <v>3</v>
      </c>
      <c r="I23" s="82">
        <v>3</v>
      </c>
      <c r="J23" s="82">
        <v>157</v>
      </c>
      <c r="K23" s="82">
        <v>51</v>
      </c>
    </row>
    <row r="24" spans="1:20" ht="16.5" customHeight="1">
      <c r="A24" s="264" t="s">
        <v>1815</v>
      </c>
      <c r="B24" s="702" t="s">
        <v>1229</v>
      </c>
      <c r="C24" s="1120" t="s">
        <v>1229</v>
      </c>
      <c r="D24" s="1120" t="s">
        <v>1229</v>
      </c>
      <c r="E24" s="1120" t="s">
        <v>1229</v>
      </c>
      <c r="F24" s="1580" t="s">
        <v>1229</v>
      </c>
      <c r="G24" s="77">
        <v>8</v>
      </c>
      <c r="H24" s="1120">
        <v>2</v>
      </c>
      <c r="I24" s="1120">
        <v>2</v>
      </c>
      <c r="J24" s="82" t="s">
        <v>1229</v>
      </c>
      <c r="K24" s="82">
        <v>7</v>
      </c>
    </row>
    <row r="25" spans="1:20" ht="16.5" customHeight="1">
      <c r="A25" s="265" t="s">
        <v>1816</v>
      </c>
      <c r="B25" s="702" t="s">
        <v>1229</v>
      </c>
      <c r="C25" s="1120" t="s">
        <v>1229</v>
      </c>
      <c r="D25" s="1120" t="s">
        <v>1229</v>
      </c>
      <c r="E25" s="1120" t="s">
        <v>1229</v>
      </c>
      <c r="F25" s="1580" t="s">
        <v>1229</v>
      </c>
      <c r="G25" s="77" t="s">
        <v>1229</v>
      </c>
      <c r="H25" s="82" t="s">
        <v>1229</v>
      </c>
      <c r="I25" s="82" t="s">
        <v>1229</v>
      </c>
      <c r="J25" s="82">
        <v>7</v>
      </c>
      <c r="K25" s="82">
        <v>3</v>
      </c>
    </row>
    <row r="26" spans="1:20" ht="16.5" customHeight="1">
      <c r="A26" s="265" t="s">
        <v>1817</v>
      </c>
      <c r="B26" s="702" t="s">
        <v>1229</v>
      </c>
      <c r="C26" s="82">
        <v>2</v>
      </c>
      <c r="D26" s="82">
        <v>32</v>
      </c>
      <c r="E26" s="82">
        <v>28</v>
      </c>
      <c r="F26" s="82">
        <v>19</v>
      </c>
      <c r="G26" s="77">
        <v>352</v>
      </c>
      <c r="H26" s="82">
        <v>15</v>
      </c>
      <c r="I26" s="82">
        <v>396</v>
      </c>
      <c r="J26" s="82">
        <v>702</v>
      </c>
      <c r="K26" s="82">
        <v>595</v>
      </c>
    </row>
    <row r="27" spans="1:20" ht="16.5" customHeight="1">
      <c r="A27" s="265" t="s">
        <v>1818</v>
      </c>
      <c r="B27" s="77">
        <v>1</v>
      </c>
      <c r="C27" s="1120">
        <v>5</v>
      </c>
      <c r="D27" s="1120">
        <v>2</v>
      </c>
      <c r="E27" s="1120">
        <v>1</v>
      </c>
      <c r="F27" s="1120">
        <v>4</v>
      </c>
      <c r="G27" s="77">
        <v>11</v>
      </c>
      <c r="H27" s="82">
        <v>31</v>
      </c>
      <c r="I27" s="82">
        <v>48</v>
      </c>
      <c r="J27" s="82">
        <v>29</v>
      </c>
      <c r="K27" s="82">
        <v>181</v>
      </c>
    </row>
    <row r="28" spans="1:20" ht="16.5" customHeight="1">
      <c r="A28" s="265" t="s">
        <v>993</v>
      </c>
      <c r="B28" s="77" t="s">
        <v>1229</v>
      </c>
      <c r="C28" s="1120" t="s">
        <v>1229</v>
      </c>
      <c r="D28" s="1120" t="s">
        <v>1229</v>
      </c>
      <c r="E28" s="1120" t="s">
        <v>1229</v>
      </c>
      <c r="F28" s="1580" t="s">
        <v>1229</v>
      </c>
      <c r="G28" s="77" t="s">
        <v>1229</v>
      </c>
      <c r="H28" s="82" t="s">
        <v>1229</v>
      </c>
      <c r="I28" s="82" t="s">
        <v>1229</v>
      </c>
      <c r="J28" s="82" t="s">
        <v>1229</v>
      </c>
      <c r="K28" s="1580" t="s">
        <v>1229</v>
      </c>
    </row>
    <row r="29" spans="1:20" ht="16.5" customHeight="1">
      <c r="A29" s="265" t="s">
        <v>1819</v>
      </c>
      <c r="B29" s="77">
        <v>5</v>
      </c>
      <c r="C29" s="82">
        <v>4</v>
      </c>
      <c r="D29" s="82">
        <v>37</v>
      </c>
      <c r="E29" s="82">
        <v>31</v>
      </c>
      <c r="F29" s="82">
        <v>36</v>
      </c>
      <c r="G29" s="77">
        <v>299</v>
      </c>
      <c r="H29" s="82">
        <v>195</v>
      </c>
      <c r="I29" s="82">
        <v>1072</v>
      </c>
      <c r="J29" s="82">
        <v>1215</v>
      </c>
      <c r="K29" s="82">
        <v>921</v>
      </c>
    </row>
    <row r="30" spans="1:20" ht="16.5" customHeight="1">
      <c r="A30" s="523" t="s">
        <v>1111</v>
      </c>
      <c r="B30" s="78">
        <v>276</v>
      </c>
      <c r="C30" s="82">
        <v>287</v>
      </c>
      <c r="D30" s="82">
        <v>394</v>
      </c>
      <c r="E30" s="82">
        <v>973</v>
      </c>
      <c r="F30" s="82">
        <v>235</v>
      </c>
      <c r="G30" s="77">
        <v>1481</v>
      </c>
      <c r="H30" s="82">
        <v>372</v>
      </c>
      <c r="I30" s="82">
        <v>2145</v>
      </c>
      <c r="J30" s="82">
        <v>2025</v>
      </c>
      <c r="K30" s="82">
        <v>903</v>
      </c>
    </row>
    <row r="31" spans="1:20" ht="16.5" customHeight="1">
      <c r="A31" s="297" t="s">
        <v>958</v>
      </c>
      <c r="B31" s="297">
        <f t="shared" ref="B31:K31" si="1">SUM(B22:B30)</f>
        <v>296</v>
      </c>
      <c r="C31" s="266">
        <f t="shared" si="1"/>
        <v>299</v>
      </c>
      <c r="D31" s="297">
        <f t="shared" si="1"/>
        <v>478</v>
      </c>
      <c r="E31" s="267">
        <f t="shared" si="1"/>
        <v>1043</v>
      </c>
      <c r="F31" s="267">
        <f t="shared" si="1"/>
        <v>311</v>
      </c>
      <c r="G31" s="297">
        <f t="shared" si="1"/>
        <v>2159</v>
      </c>
      <c r="H31" s="266">
        <f t="shared" si="1"/>
        <v>621</v>
      </c>
      <c r="I31" s="297">
        <f t="shared" si="1"/>
        <v>3738</v>
      </c>
      <c r="J31" s="267">
        <f t="shared" si="1"/>
        <v>4383</v>
      </c>
      <c r="K31" s="267">
        <f t="shared" si="1"/>
        <v>2794</v>
      </c>
    </row>
    <row r="32" spans="1:20">
      <c r="K32" s="1134" t="str">
        <f>CONCATENATE("Source : Superintendent of Police, ",District!$A$1)</f>
        <v>Source : Superintendent of Police, South 24-Parganas</v>
      </c>
    </row>
  </sheetData>
  <mergeCells count="9">
    <mergeCell ref="A18:K18"/>
    <mergeCell ref="A19:A20"/>
    <mergeCell ref="A1:K1"/>
    <mergeCell ref="A2:K2"/>
    <mergeCell ref="A4:A5"/>
    <mergeCell ref="B4:F4"/>
    <mergeCell ref="G4:K4"/>
    <mergeCell ref="B19:F19"/>
    <mergeCell ref="G19:K19"/>
  </mergeCells>
  <phoneticPr fontId="0" type="noConversion"/>
  <printOptions horizontalCentered="1"/>
  <pageMargins left="0.1" right="0.1" top="0.61" bottom="0.1" header="0.34" footer="0.1"/>
  <pageSetup paperSize="9" orientation="landscape" blackAndWhite="1" r:id="rId1"/>
  <headerFooter alignWithMargins="0"/>
</worksheet>
</file>

<file path=xl/worksheets/sheet71.xml><?xml version="1.0" encoding="utf-8"?>
<worksheet xmlns="http://schemas.openxmlformats.org/spreadsheetml/2006/main" xmlns:r="http://schemas.openxmlformats.org/officeDocument/2006/relationships">
  <dimension ref="A1:L35"/>
  <sheetViews>
    <sheetView topLeftCell="A16" workbookViewId="0">
      <selection activeCell="J11" sqref="J11"/>
    </sheetView>
  </sheetViews>
  <sheetFormatPr defaultRowHeight="12.75"/>
  <cols>
    <col min="1" max="1" width="19.28515625" customWidth="1"/>
    <col min="2" max="2" width="5.42578125" customWidth="1"/>
    <col min="3" max="12" width="10.28515625" customWidth="1"/>
  </cols>
  <sheetData>
    <row r="1" spans="1:12" ht="12.75" customHeight="1">
      <c r="A1" s="1708" t="s">
        <v>1335</v>
      </c>
      <c r="B1" s="1708"/>
      <c r="C1" s="1708"/>
      <c r="D1" s="1708"/>
      <c r="E1" s="1708"/>
      <c r="F1" s="1708"/>
      <c r="G1" s="1708"/>
      <c r="H1" s="1708"/>
      <c r="I1" s="1708"/>
      <c r="J1" s="1708"/>
      <c r="K1" s="1708"/>
      <c r="L1" s="1708"/>
    </row>
    <row r="2" spans="1:12" ht="15" customHeight="1">
      <c r="A2" s="1715" t="str">
        <f>CONCATENATE("Police Stations and Out-posts in different Sub-divisions in the district of ",District!$A$1)</f>
        <v>Police Stations and Out-posts in different Sub-divisions in the district of South 24-Parganas</v>
      </c>
      <c r="B2" s="1715"/>
      <c r="C2" s="1715"/>
      <c r="D2" s="1715"/>
      <c r="E2" s="1715"/>
      <c r="F2" s="1715"/>
      <c r="G2" s="1715"/>
      <c r="H2" s="1715"/>
      <c r="I2" s="1715"/>
      <c r="J2" s="1715"/>
      <c r="K2" s="1715"/>
      <c r="L2" s="1715"/>
    </row>
    <row r="3" spans="1:12" ht="15" customHeight="1">
      <c r="B3" s="33"/>
      <c r="C3" s="33"/>
      <c r="D3" s="33"/>
      <c r="E3" s="33"/>
      <c r="F3" s="3"/>
      <c r="G3" s="33"/>
      <c r="H3" s="37"/>
      <c r="I3" s="37"/>
      <c r="J3" s="37"/>
      <c r="L3" s="641" t="s">
        <v>977</v>
      </c>
    </row>
    <row r="4" spans="1:12" ht="17.100000000000001" customHeight="1">
      <c r="A4" s="2052" t="s">
        <v>1718</v>
      </c>
      <c r="B4" s="2053"/>
      <c r="C4" s="1827" t="s">
        <v>466</v>
      </c>
      <c r="D4" s="1810"/>
      <c r="E4" s="1810"/>
      <c r="F4" s="1810"/>
      <c r="G4" s="1811"/>
      <c r="H4" s="1827" t="s">
        <v>467</v>
      </c>
      <c r="I4" s="1810"/>
      <c r="J4" s="1810"/>
      <c r="K4" s="1810"/>
      <c r="L4" s="1811"/>
    </row>
    <row r="5" spans="1:12" ht="17.100000000000001" customHeight="1">
      <c r="A5" s="2035"/>
      <c r="B5" s="2036"/>
      <c r="C5" s="1494">
        <v>2010</v>
      </c>
      <c r="D5" s="1495">
        <v>2011</v>
      </c>
      <c r="E5" s="1495">
        <v>2012</v>
      </c>
      <c r="F5" s="1495">
        <v>2013</v>
      </c>
      <c r="G5" s="1495">
        <v>2014</v>
      </c>
      <c r="H5" s="1494">
        <v>2010</v>
      </c>
      <c r="I5" s="1495">
        <v>2011</v>
      </c>
      <c r="J5" s="1495">
        <v>2012</v>
      </c>
      <c r="K5" s="1495">
        <v>2013</v>
      </c>
      <c r="L5" s="1495">
        <v>2014</v>
      </c>
    </row>
    <row r="6" spans="1:12" ht="17.100000000000001" customHeight="1">
      <c r="A6" s="1716" t="s">
        <v>928</v>
      </c>
      <c r="B6" s="1797"/>
      <c r="C6" s="119" t="s">
        <v>929</v>
      </c>
      <c r="D6" s="199" t="s">
        <v>930</v>
      </c>
      <c r="E6" s="214" t="s">
        <v>931</v>
      </c>
      <c r="F6" s="199" t="s">
        <v>932</v>
      </c>
      <c r="G6" s="120" t="s">
        <v>933</v>
      </c>
      <c r="H6" s="119" t="s">
        <v>934</v>
      </c>
      <c r="I6" s="199" t="s">
        <v>959</v>
      </c>
      <c r="J6" s="119" t="s">
        <v>960</v>
      </c>
      <c r="K6" s="199" t="s">
        <v>961</v>
      </c>
      <c r="L6" s="120" t="s">
        <v>962</v>
      </c>
    </row>
    <row r="7" spans="1:12" ht="18" customHeight="1">
      <c r="A7" s="1709" t="s">
        <v>1547</v>
      </c>
      <c r="B7" s="2041"/>
      <c r="C7" s="296">
        <v>5</v>
      </c>
      <c r="D7" s="305">
        <v>5</v>
      </c>
      <c r="E7" s="305">
        <v>5</v>
      </c>
      <c r="F7" s="305">
        <v>5</v>
      </c>
      <c r="G7" s="305">
        <v>5</v>
      </c>
      <c r="H7" s="77">
        <v>27</v>
      </c>
      <c r="I7" s="82">
        <v>2</v>
      </c>
      <c r="J7" s="82">
        <v>2</v>
      </c>
      <c r="K7" s="82">
        <v>2</v>
      </c>
      <c r="L7" s="82">
        <v>3</v>
      </c>
    </row>
    <row r="8" spans="1:12" ht="18" customHeight="1">
      <c r="A8" s="1709" t="s">
        <v>1221</v>
      </c>
      <c r="B8" s="2041"/>
      <c r="C8" s="77">
        <v>8</v>
      </c>
      <c r="D8" s="82">
        <v>8</v>
      </c>
      <c r="E8" s="82">
        <v>9</v>
      </c>
      <c r="F8" s="82">
        <v>9</v>
      </c>
      <c r="G8" s="82">
        <v>9</v>
      </c>
      <c r="H8" s="77">
        <v>2</v>
      </c>
      <c r="I8" s="82">
        <v>10</v>
      </c>
      <c r="J8" s="82">
        <v>7</v>
      </c>
      <c r="K8" s="82">
        <v>7</v>
      </c>
      <c r="L8" s="82">
        <v>7</v>
      </c>
    </row>
    <row r="9" spans="1:12" ht="18" customHeight="1">
      <c r="A9" s="1709" t="s">
        <v>1196</v>
      </c>
      <c r="B9" s="2041"/>
      <c r="C9" s="77">
        <v>5</v>
      </c>
      <c r="D9" s="82">
        <v>5</v>
      </c>
      <c r="E9" s="82">
        <v>5</v>
      </c>
      <c r="F9" s="82">
        <v>5</v>
      </c>
      <c r="G9" s="82">
        <v>6</v>
      </c>
      <c r="H9" s="77">
        <v>3</v>
      </c>
      <c r="I9" s="82">
        <v>8</v>
      </c>
      <c r="J9" s="82">
        <v>3</v>
      </c>
      <c r="K9" s="82">
        <v>3</v>
      </c>
      <c r="L9" s="82">
        <v>3</v>
      </c>
    </row>
    <row r="10" spans="1:12" ht="18" customHeight="1">
      <c r="A10" s="1709" t="s">
        <v>1560</v>
      </c>
      <c r="B10" s="2041"/>
      <c r="C10" s="77">
        <v>9</v>
      </c>
      <c r="D10" s="82">
        <v>9</v>
      </c>
      <c r="E10" s="82">
        <v>9</v>
      </c>
      <c r="F10" s="82">
        <v>9</v>
      </c>
      <c r="G10" s="82">
        <v>11</v>
      </c>
      <c r="H10" s="77" t="s">
        <v>1229</v>
      </c>
      <c r="I10" s="82" t="s">
        <v>1229</v>
      </c>
      <c r="J10" s="82">
        <v>1</v>
      </c>
      <c r="K10" s="82" t="s">
        <v>1229</v>
      </c>
      <c r="L10" s="82" t="s">
        <v>1229</v>
      </c>
    </row>
    <row r="11" spans="1:12" ht="18" customHeight="1">
      <c r="A11" s="1709" t="s">
        <v>1205</v>
      </c>
      <c r="B11" s="2041"/>
      <c r="C11" s="78">
        <v>6</v>
      </c>
      <c r="D11" s="75">
        <v>6</v>
      </c>
      <c r="E11" s="75">
        <v>6</v>
      </c>
      <c r="F11" s="75">
        <v>6</v>
      </c>
      <c r="G11" s="75">
        <v>8</v>
      </c>
      <c r="H11" s="77" t="s">
        <v>1229</v>
      </c>
      <c r="I11" s="82">
        <v>4</v>
      </c>
      <c r="J11" s="82" t="s">
        <v>1229</v>
      </c>
      <c r="K11" s="82" t="s">
        <v>1229</v>
      </c>
      <c r="L11" s="82" t="s">
        <v>1229</v>
      </c>
    </row>
    <row r="12" spans="1:12" ht="15" customHeight="1">
      <c r="A12" s="1871" t="s">
        <v>252</v>
      </c>
      <c r="B12" s="1873"/>
      <c r="C12" s="524">
        <f t="shared" ref="C12:L12" si="0">SUM(C7:C11)</f>
        <v>33</v>
      </c>
      <c r="D12" s="524">
        <f t="shared" si="0"/>
        <v>33</v>
      </c>
      <c r="E12" s="524">
        <f t="shared" si="0"/>
        <v>34</v>
      </c>
      <c r="F12" s="309">
        <f t="shared" si="0"/>
        <v>34</v>
      </c>
      <c r="G12" s="309">
        <f t="shared" si="0"/>
        <v>39</v>
      </c>
      <c r="H12" s="309">
        <f t="shared" si="0"/>
        <v>32</v>
      </c>
      <c r="I12" s="309">
        <f t="shared" si="0"/>
        <v>24</v>
      </c>
      <c r="J12" s="309">
        <f t="shared" si="0"/>
        <v>13</v>
      </c>
      <c r="K12" s="309">
        <f t="shared" si="0"/>
        <v>12</v>
      </c>
      <c r="L12" s="309">
        <f t="shared" si="0"/>
        <v>13</v>
      </c>
    </row>
    <row r="13" spans="1:12" ht="18" customHeight="1">
      <c r="A13" s="1291"/>
      <c r="B13" s="608"/>
      <c r="C13" s="608"/>
      <c r="D13" s="608"/>
      <c r="E13" s="608"/>
      <c r="F13" s="138"/>
      <c r="G13" s="311"/>
      <c r="H13" s="22"/>
      <c r="I13" s="22"/>
      <c r="J13" s="22"/>
      <c r="K13" s="22"/>
      <c r="L13" s="1151" t="s">
        <v>814</v>
      </c>
    </row>
    <row r="14" spans="1:12" ht="13.5" customHeight="1">
      <c r="B14" s="306"/>
      <c r="C14" s="306"/>
      <c r="D14" s="306"/>
      <c r="E14" s="310"/>
      <c r="F14" s="138"/>
      <c r="G14" s="311"/>
      <c r="H14" s="22"/>
      <c r="I14" s="22"/>
      <c r="J14" s="22"/>
      <c r="K14" s="22"/>
      <c r="L14" s="113"/>
    </row>
    <row r="15" spans="1:12" ht="13.5" customHeight="1">
      <c r="A15" s="1708" t="s">
        <v>1334</v>
      </c>
      <c r="B15" s="1708"/>
      <c r="C15" s="1708"/>
      <c r="D15" s="1708"/>
      <c r="E15" s="1708"/>
      <c r="F15" s="1708"/>
      <c r="G15" s="1708"/>
      <c r="H15" s="1708"/>
      <c r="I15" s="1708"/>
      <c r="J15" s="1708"/>
      <c r="K15" s="1708"/>
      <c r="L15" s="1708"/>
    </row>
    <row r="16" spans="1:12" ht="14.25" customHeight="1">
      <c r="A16" s="1730" t="str">
        <f>CONCATENATE("Strength of Police Force by category in the district of ",District!$A$1)</f>
        <v>Strength of Police Force by category in the district of South 24-Parganas</v>
      </c>
      <c r="B16" s="1730"/>
      <c r="C16" s="1730"/>
      <c r="D16" s="1730"/>
      <c r="E16" s="1730"/>
      <c r="F16" s="1730"/>
      <c r="G16" s="1730"/>
      <c r="H16" s="1730"/>
      <c r="I16" s="1730"/>
      <c r="J16" s="1730"/>
      <c r="K16" s="1730"/>
      <c r="L16" s="1730"/>
    </row>
    <row r="17" spans="1:12" ht="12.75" customHeight="1">
      <c r="C17" s="21"/>
      <c r="D17" s="21"/>
      <c r="E17" s="21"/>
      <c r="F17" s="21"/>
      <c r="L17" s="110" t="s">
        <v>977</v>
      </c>
    </row>
    <row r="18" spans="1:12" ht="18" customHeight="1">
      <c r="A18" s="2193" t="s">
        <v>1</v>
      </c>
      <c r="B18" s="2194"/>
      <c r="C18" s="1827">
        <v>2010</v>
      </c>
      <c r="D18" s="1811"/>
      <c r="E18" s="1827">
        <v>2011</v>
      </c>
      <c r="F18" s="1811"/>
      <c r="G18" s="2243">
        <v>2012</v>
      </c>
      <c r="H18" s="2053"/>
      <c r="I18" s="2243">
        <v>2013</v>
      </c>
      <c r="J18" s="2053"/>
      <c r="K18" s="2243">
        <v>2014</v>
      </c>
      <c r="L18" s="2053"/>
    </row>
    <row r="19" spans="1:12" ht="18" customHeight="1">
      <c r="A19" s="1716" t="s">
        <v>928</v>
      </c>
      <c r="B19" s="1797"/>
      <c r="C19" s="1716" t="s">
        <v>929</v>
      </c>
      <c r="D19" s="1717"/>
      <c r="E19" s="1716" t="s">
        <v>930</v>
      </c>
      <c r="F19" s="1797"/>
      <c r="G19" s="2246" t="s">
        <v>931</v>
      </c>
      <c r="H19" s="2246"/>
      <c r="I19" s="1716" t="s">
        <v>932</v>
      </c>
      <c r="J19" s="1717"/>
      <c r="K19" s="1716" t="s">
        <v>933</v>
      </c>
      <c r="L19" s="1797"/>
    </row>
    <row r="20" spans="1:12" ht="15" customHeight="1">
      <c r="A20" s="2118" t="s">
        <v>1519</v>
      </c>
      <c r="B20" s="2247"/>
      <c r="C20" s="2040">
        <v>1</v>
      </c>
      <c r="D20" s="1963"/>
      <c r="E20" s="2040">
        <v>1</v>
      </c>
      <c r="F20" s="1963"/>
      <c r="G20" s="2040">
        <v>1</v>
      </c>
      <c r="H20" s="1963"/>
      <c r="I20" s="2040">
        <v>1</v>
      </c>
      <c r="J20" s="1963"/>
      <c r="K20" s="2040">
        <v>1</v>
      </c>
      <c r="L20" s="1963"/>
    </row>
    <row r="21" spans="1:12" ht="15" customHeight="1">
      <c r="A21" s="2118" t="s">
        <v>1014</v>
      </c>
      <c r="B21" s="2247"/>
      <c r="C21" s="1791">
        <v>4</v>
      </c>
      <c r="D21" s="2039"/>
      <c r="E21" s="1791">
        <v>4</v>
      </c>
      <c r="F21" s="2039"/>
      <c r="G21" s="1791">
        <v>3</v>
      </c>
      <c r="H21" s="2039"/>
      <c r="I21" s="1791">
        <v>3</v>
      </c>
      <c r="J21" s="2039"/>
      <c r="K21" s="1791">
        <v>3</v>
      </c>
      <c r="L21" s="2039"/>
    </row>
    <row r="22" spans="1:12" ht="15" customHeight="1">
      <c r="A22" s="2118" t="s">
        <v>1015</v>
      </c>
      <c r="B22" s="2247"/>
      <c r="C22" s="1791">
        <v>7</v>
      </c>
      <c r="D22" s="2039"/>
      <c r="E22" s="1791">
        <v>7</v>
      </c>
      <c r="F22" s="2039"/>
      <c r="G22" s="1791">
        <v>8</v>
      </c>
      <c r="H22" s="2039"/>
      <c r="I22" s="1791">
        <v>6</v>
      </c>
      <c r="J22" s="2039"/>
      <c r="K22" s="1791">
        <v>8</v>
      </c>
      <c r="L22" s="2039"/>
    </row>
    <row r="23" spans="1:12" ht="15" customHeight="1">
      <c r="A23" s="2244" t="s">
        <v>1520</v>
      </c>
      <c r="B23" s="2245"/>
      <c r="C23" s="1791">
        <v>4</v>
      </c>
      <c r="D23" s="2039"/>
      <c r="E23" s="1791">
        <v>4</v>
      </c>
      <c r="F23" s="2039"/>
      <c r="G23" s="1791">
        <v>4</v>
      </c>
      <c r="H23" s="2039"/>
      <c r="I23" s="1791">
        <v>4</v>
      </c>
      <c r="J23" s="2039"/>
      <c r="K23" s="1791">
        <v>4</v>
      </c>
      <c r="L23" s="2039"/>
    </row>
    <row r="24" spans="1:12" ht="15" customHeight="1">
      <c r="A24" s="2244" t="s">
        <v>1521</v>
      </c>
      <c r="B24" s="2245"/>
      <c r="C24" s="1791">
        <v>50</v>
      </c>
      <c r="D24" s="2039"/>
      <c r="E24" s="1791">
        <v>43</v>
      </c>
      <c r="F24" s="2039"/>
      <c r="G24" s="1791">
        <v>34</v>
      </c>
      <c r="H24" s="2039"/>
      <c r="I24" s="1791">
        <v>26</v>
      </c>
      <c r="J24" s="2039"/>
      <c r="K24" s="1791">
        <v>28</v>
      </c>
      <c r="L24" s="2039"/>
    </row>
    <row r="25" spans="1:12" ht="15" customHeight="1">
      <c r="A25" s="2244" t="s">
        <v>1522</v>
      </c>
      <c r="B25" s="2245"/>
      <c r="C25" s="1791">
        <v>365</v>
      </c>
      <c r="D25" s="2039"/>
      <c r="E25" s="1791">
        <v>370</v>
      </c>
      <c r="F25" s="2039"/>
      <c r="G25" s="1791">
        <v>345</v>
      </c>
      <c r="H25" s="2039"/>
      <c r="I25" s="1791">
        <v>320</v>
      </c>
      <c r="J25" s="2039"/>
      <c r="K25" s="1791">
        <v>359</v>
      </c>
      <c r="L25" s="2039"/>
    </row>
    <row r="26" spans="1:12" ht="15" customHeight="1">
      <c r="A26" s="2244" t="s">
        <v>816</v>
      </c>
      <c r="B26" s="2245"/>
      <c r="C26" s="1791" t="s">
        <v>1229</v>
      </c>
      <c r="D26" s="2039"/>
      <c r="E26" s="2222" t="s">
        <v>1229</v>
      </c>
      <c r="F26" s="2223"/>
      <c r="G26" s="2222">
        <v>10</v>
      </c>
      <c r="H26" s="2223"/>
      <c r="I26" s="2222">
        <v>10</v>
      </c>
      <c r="J26" s="2039"/>
      <c r="K26" s="2222">
        <v>6</v>
      </c>
      <c r="L26" s="2039"/>
    </row>
    <row r="27" spans="1:12" ht="15" customHeight="1">
      <c r="A27" s="2244" t="s">
        <v>1523</v>
      </c>
      <c r="B27" s="2245"/>
      <c r="C27" s="2222" t="s">
        <v>1229</v>
      </c>
      <c r="D27" s="2223"/>
      <c r="E27" s="2222" t="s">
        <v>1229</v>
      </c>
      <c r="F27" s="2223"/>
      <c r="G27" s="2222" t="s">
        <v>1229</v>
      </c>
      <c r="H27" s="2223"/>
      <c r="I27" s="2222" t="s">
        <v>1229</v>
      </c>
      <c r="J27" s="2039"/>
      <c r="K27" s="2222" t="s">
        <v>1229</v>
      </c>
      <c r="L27" s="2039"/>
    </row>
    <row r="28" spans="1:12" ht="25.5" customHeight="1">
      <c r="A28" s="2244" t="s">
        <v>1524</v>
      </c>
      <c r="B28" s="2245"/>
      <c r="C28" s="1791">
        <v>594</v>
      </c>
      <c r="D28" s="2039"/>
      <c r="E28" s="1791">
        <v>633</v>
      </c>
      <c r="F28" s="2039"/>
      <c r="G28" s="1791">
        <v>547</v>
      </c>
      <c r="H28" s="2039"/>
      <c r="I28" s="1791">
        <v>569</v>
      </c>
      <c r="J28" s="2039"/>
      <c r="K28" s="1791">
        <v>602</v>
      </c>
      <c r="L28" s="2039"/>
    </row>
    <row r="29" spans="1:12" ht="15" customHeight="1">
      <c r="A29" s="2244" t="s">
        <v>1525</v>
      </c>
      <c r="B29" s="2245"/>
      <c r="C29" s="1791"/>
      <c r="D29" s="2039"/>
      <c r="E29" s="1791"/>
      <c r="F29" s="2039"/>
      <c r="G29" s="1791"/>
      <c r="H29" s="2039"/>
      <c r="I29" s="1791"/>
      <c r="J29" s="2039"/>
      <c r="K29" s="1791"/>
      <c r="L29" s="2039"/>
    </row>
    <row r="30" spans="1:12" ht="15" customHeight="1">
      <c r="A30" s="2244" t="s">
        <v>1526</v>
      </c>
      <c r="B30" s="2245"/>
      <c r="C30" s="1791" t="s">
        <v>1229</v>
      </c>
      <c r="D30" s="2039"/>
      <c r="E30" s="2222" t="s">
        <v>1229</v>
      </c>
      <c r="F30" s="2223"/>
      <c r="G30" s="2222" t="s">
        <v>1229</v>
      </c>
      <c r="H30" s="2223"/>
      <c r="I30" s="2222" t="s">
        <v>1229</v>
      </c>
      <c r="J30" s="2039"/>
      <c r="K30" s="2222" t="s">
        <v>1229</v>
      </c>
      <c r="L30" s="2039"/>
    </row>
    <row r="31" spans="1:12" ht="15" customHeight="1">
      <c r="A31" s="2244" t="s">
        <v>1527</v>
      </c>
      <c r="B31" s="2245"/>
      <c r="C31" s="1806">
        <v>3599</v>
      </c>
      <c r="D31" s="1964"/>
      <c r="E31" s="2232">
        <v>3025</v>
      </c>
      <c r="F31" s="2248"/>
      <c r="G31" s="2232">
        <v>3047</v>
      </c>
      <c r="H31" s="2248"/>
      <c r="I31" s="2232">
        <v>3172</v>
      </c>
      <c r="J31" s="1964"/>
      <c r="K31" s="2232">
        <v>2832</v>
      </c>
      <c r="L31" s="1964"/>
    </row>
    <row r="32" spans="1:12" ht="15" customHeight="1">
      <c r="A32" s="1871" t="s">
        <v>958</v>
      </c>
      <c r="B32" s="1872"/>
      <c r="C32" s="1871">
        <f>SUM(C20:D31)</f>
        <v>4624</v>
      </c>
      <c r="D32" s="1873"/>
      <c r="E32" s="1871">
        <f>SUM(E20:F31)</f>
        <v>4087</v>
      </c>
      <c r="F32" s="1873"/>
      <c r="G32" s="1871">
        <f>SUM(G20:H31)</f>
        <v>3999</v>
      </c>
      <c r="H32" s="1873"/>
      <c r="I32" s="1871">
        <f>SUM(I20:J31)</f>
        <v>4111</v>
      </c>
      <c r="J32" s="1873"/>
      <c r="K32" s="1871">
        <f>SUM(K20:L31)</f>
        <v>3843</v>
      </c>
      <c r="L32" s="1873"/>
    </row>
    <row r="33" spans="9:12">
      <c r="I33" s="7"/>
      <c r="J33" s="7"/>
      <c r="L33" s="1151" t="s">
        <v>814</v>
      </c>
    </row>
    <row r="34" spans="9:12">
      <c r="I34" s="7"/>
      <c r="J34" s="7"/>
    </row>
    <row r="35" spans="9:12">
      <c r="I35" s="7"/>
      <c r="J35" s="7"/>
    </row>
  </sheetData>
  <mergeCells count="99">
    <mergeCell ref="C31:D31"/>
    <mergeCell ref="G18:H18"/>
    <mergeCell ref="I18:J18"/>
    <mergeCell ref="G28:H29"/>
    <mergeCell ref="E21:F21"/>
    <mergeCell ref="I26:J26"/>
    <mergeCell ref="E25:F25"/>
    <mergeCell ref="G24:H24"/>
    <mergeCell ref="G25:H25"/>
    <mergeCell ref="G26:H26"/>
    <mergeCell ref="E26:F26"/>
    <mergeCell ref="E24:F24"/>
    <mergeCell ref="E18:F18"/>
    <mergeCell ref="I22:J22"/>
    <mergeCell ref="I23:J23"/>
    <mergeCell ref="G23:H23"/>
    <mergeCell ref="E19:F19"/>
    <mergeCell ref="C26:D26"/>
    <mergeCell ref="K27:L27"/>
    <mergeCell ref="G32:H32"/>
    <mergeCell ref="E32:F32"/>
    <mergeCell ref="C32:D32"/>
    <mergeCell ref="E27:F27"/>
    <mergeCell ref="C30:D30"/>
    <mergeCell ref="C28:D29"/>
    <mergeCell ref="E28:F29"/>
    <mergeCell ref="G27:H27"/>
    <mergeCell ref="G31:H31"/>
    <mergeCell ref="G30:H30"/>
    <mergeCell ref="C27:D27"/>
    <mergeCell ref="E31:F31"/>
    <mergeCell ref="E30:F30"/>
    <mergeCell ref="K32:L32"/>
    <mergeCell ref="I32:J32"/>
    <mergeCell ref="K24:L24"/>
    <mergeCell ref="K25:L25"/>
    <mergeCell ref="K26:L26"/>
    <mergeCell ref="I31:J31"/>
    <mergeCell ref="K31:L31"/>
    <mergeCell ref="I24:J24"/>
    <mergeCell ref="I25:J25"/>
    <mergeCell ref="I28:J29"/>
    <mergeCell ref="I27:J27"/>
    <mergeCell ref="K28:L29"/>
    <mergeCell ref="K30:L30"/>
    <mergeCell ref="A27:B27"/>
    <mergeCell ref="A26:B26"/>
    <mergeCell ref="A22:B22"/>
    <mergeCell ref="A2:L2"/>
    <mergeCell ref="C4:G4"/>
    <mergeCell ref="H4:L4"/>
    <mergeCell ref="A24:B24"/>
    <mergeCell ref="A18:B18"/>
    <mergeCell ref="A19:B19"/>
    <mergeCell ref="A20:B20"/>
    <mergeCell ref="A21:B21"/>
    <mergeCell ref="A16:L16"/>
    <mergeCell ref="K20:L20"/>
    <mergeCell ref="K21:L21"/>
    <mergeCell ref="K22:L22"/>
    <mergeCell ref="K23:L23"/>
    <mergeCell ref="A32:B32"/>
    <mergeCell ref="A30:B30"/>
    <mergeCell ref="A31:B31"/>
    <mergeCell ref="A28:B28"/>
    <mergeCell ref="A29:B29"/>
    <mergeCell ref="A4:B5"/>
    <mergeCell ref="A6:B6"/>
    <mergeCell ref="A7:B7"/>
    <mergeCell ref="A8:B8"/>
    <mergeCell ref="A10:B10"/>
    <mergeCell ref="A11:B11"/>
    <mergeCell ref="A25:B25"/>
    <mergeCell ref="C25:D25"/>
    <mergeCell ref="C18:D18"/>
    <mergeCell ref="C21:D21"/>
    <mergeCell ref="C22:D22"/>
    <mergeCell ref="C24:D24"/>
    <mergeCell ref="E20:F20"/>
    <mergeCell ref="C20:D20"/>
    <mergeCell ref="G20:H20"/>
    <mergeCell ref="G21:H21"/>
    <mergeCell ref="G22:H22"/>
    <mergeCell ref="K18:L18"/>
    <mergeCell ref="E23:F23"/>
    <mergeCell ref="E22:F22"/>
    <mergeCell ref="A1:L1"/>
    <mergeCell ref="I30:J30"/>
    <mergeCell ref="K19:L19"/>
    <mergeCell ref="I19:J19"/>
    <mergeCell ref="I20:J20"/>
    <mergeCell ref="I21:J21"/>
    <mergeCell ref="A9:B9"/>
    <mergeCell ref="A15:L15"/>
    <mergeCell ref="A12:B12"/>
    <mergeCell ref="A23:B23"/>
    <mergeCell ref="C19:D19"/>
    <mergeCell ref="C23:D23"/>
    <mergeCell ref="G19:H19"/>
  </mergeCells>
  <phoneticPr fontId="0" type="noConversion"/>
  <printOptions horizontalCentered="1"/>
  <pageMargins left="0.1" right="0.1" top="0.63" bottom="0.1" header="0.43" footer="0.1"/>
  <pageSetup paperSize="9" orientation="landscape" blackAndWhite="1" r:id="rId1"/>
  <headerFooter alignWithMargins="0"/>
  <drawing r:id="rId2"/>
</worksheet>
</file>

<file path=xl/worksheets/sheet72.xml><?xml version="1.0" encoding="utf-8"?>
<worksheet xmlns="http://schemas.openxmlformats.org/spreadsheetml/2006/main" xmlns:r="http://schemas.openxmlformats.org/officeDocument/2006/relationships">
  <dimension ref="A1:N24"/>
  <sheetViews>
    <sheetView topLeftCell="A13" workbookViewId="0">
      <selection activeCell="J11" sqref="J11"/>
    </sheetView>
  </sheetViews>
  <sheetFormatPr defaultRowHeight="12.75"/>
  <cols>
    <col min="1" max="1" width="15.28515625" customWidth="1"/>
    <col min="2" max="2" width="10.5703125" customWidth="1"/>
    <col min="3" max="3" width="10.140625" customWidth="1"/>
    <col min="4" max="4" width="8.28515625" customWidth="1"/>
    <col min="5" max="5" width="10.85546875" customWidth="1"/>
    <col min="6" max="6" width="8.28515625" customWidth="1"/>
    <col min="7" max="7" width="10.85546875" customWidth="1"/>
    <col min="8" max="8" width="8.28515625" customWidth="1"/>
    <col min="9" max="9" width="10.85546875" customWidth="1"/>
    <col min="10" max="10" width="8.28515625" customWidth="1"/>
    <col min="11" max="11" width="10.85546875" customWidth="1"/>
    <col min="12" max="12" width="8.28515625" customWidth="1"/>
    <col min="13" max="13" width="10.85546875" customWidth="1"/>
    <col min="14" max="14" width="10.5703125" customWidth="1"/>
  </cols>
  <sheetData>
    <row r="1" spans="1:14" ht="13.5" customHeight="1">
      <c r="A1" s="1948" t="s">
        <v>1337</v>
      </c>
      <c r="B1" s="1948"/>
      <c r="C1" s="1948"/>
      <c r="D1" s="1948"/>
      <c r="E1" s="1948"/>
      <c r="F1" s="1948"/>
      <c r="G1" s="1948"/>
      <c r="H1" s="1948"/>
      <c r="I1" s="1948"/>
      <c r="J1" s="1948"/>
      <c r="K1" s="1948"/>
      <c r="L1" s="1948"/>
      <c r="M1" s="1948"/>
    </row>
    <row r="2" spans="1:14" s="564" customFormat="1" ht="16.5" customHeight="1">
      <c r="A2" s="2056" t="s">
        <v>1018</v>
      </c>
      <c r="B2" s="2056"/>
      <c r="C2" s="2056"/>
      <c r="D2" s="2056"/>
      <c r="E2" s="2056"/>
      <c r="F2" s="2056"/>
      <c r="G2" s="2056"/>
      <c r="H2" s="2056"/>
      <c r="I2" s="2056"/>
      <c r="J2" s="2056"/>
      <c r="K2" s="2056"/>
      <c r="L2" s="2056"/>
      <c r="M2" s="2056"/>
    </row>
    <row r="3" spans="1:14" ht="13.5" customHeight="1">
      <c r="B3" s="7"/>
      <c r="C3" s="7"/>
      <c r="D3" s="7"/>
      <c r="E3" s="7"/>
      <c r="F3" s="7"/>
      <c r="G3" s="7"/>
      <c r="H3" s="7"/>
      <c r="I3" s="7"/>
      <c r="J3" s="7"/>
      <c r="K3" s="7"/>
      <c r="L3" s="2032" t="s">
        <v>1016</v>
      </c>
      <c r="M3" s="2032"/>
    </row>
    <row r="4" spans="1:14" ht="19.5" customHeight="1">
      <c r="A4" s="1721" t="s">
        <v>994</v>
      </c>
      <c r="B4" s="2252" t="s">
        <v>1113</v>
      </c>
      <c r="C4" s="2225" t="s">
        <v>548</v>
      </c>
      <c r="D4" s="1732" t="s">
        <v>1317</v>
      </c>
      <c r="E4" s="1714"/>
      <c r="F4" s="1732" t="s">
        <v>221</v>
      </c>
      <c r="G4" s="1714"/>
      <c r="H4" s="1713" t="s">
        <v>1301</v>
      </c>
      <c r="I4" s="1714"/>
      <c r="J4" s="1713" t="s">
        <v>621</v>
      </c>
      <c r="K4" s="1714"/>
      <c r="L4" s="1713" t="s">
        <v>206</v>
      </c>
      <c r="M4" s="1714"/>
    </row>
    <row r="5" spans="1:14" ht="19.5" customHeight="1">
      <c r="A5" s="2249"/>
      <c r="B5" s="2253"/>
      <c r="C5" s="2254"/>
      <c r="D5" s="1028" t="s">
        <v>1125</v>
      </c>
      <c r="E5" s="1037" t="s">
        <v>1552</v>
      </c>
      <c r="F5" s="1029" t="s">
        <v>1125</v>
      </c>
      <c r="G5" s="1306" t="s">
        <v>1552</v>
      </c>
      <c r="H5" s="1028" t="s">
        <v>1125</v>
      </c>
      <c r="I5" s="1037" t="s">
        <v>1552</v>
      </c>
      <c r="J5" s="1028" t="s">
        <v>1125</v>
      </c>
      <c r="K5" s="1306" t="s">
        <v>1552</v>
      </c>
      <c r="L5" s="1028" t="s">
        <v>1125</v>
      </c>
      <c r="M5" s="1306" t="s">
        <v>1552</v>
      </c>
    </row>
    <row r="6" spans="1:14" ht="18" customHeight="1">
      <c r="A6" s="199" t="s">
        <v>928</v>
      </c>
      <c r="B6" s="119" t="s">
        <v>929</v>
      </c>
      <c r="C6" s="199" t="s">
        <v>930</v>
      </c>
      <c r="D6" s="119" t="s">
        <v>931</v>
      </c>
      <c r="E6" s="199" t="s">
        <v>932</v>
      </c>
      <c r="F6" s="119" t="s">
        <v>933</v>
      </c>
      <c r="G6" s="199" t="s">
        <v>934</v>
      </c>
      <c r="H6" s="119" t="s">
        <v>959</v>
      </c>
      <c r="I6" s="199" t="s">
        <v>960</v>
      </c>
      <c r="J6" s="199" t="s">
        <v>961</v>
      </c>
      <c r="K6" s="120" t="s">
        <v>962</v>
      </c>
      <c r="L6" s="214" t="s">
        <v>1037</v>
      </c>
      <c r="M6" s="123" t="s">
        <v>1038</v>
      </c>
      <c r="N6" s="7"/>
    </row>
    <row r="7" spans="1:14" ht="24.95" customHeight="1">
      <c r="A7" s="528" t="s">
        <v>1210</v>
      </c>
      <c r="B7" s="461" t="s">
        <v>995</v>
      </c>
      <c r="C7" s="296">
        <v>448317</v>
      </c>
      <c r="D7" s="513">
        <v>643388</v>
      </c>
      <c r="E7" s="1553" t="s">
        <v>451</v>
      </c>
      <c r="F7" s="764">
        <v>1223539</v>
      </c>
      <c r="G7" s="296">
        <v>121989</v>
      </c>
      <c r="H7" s="764">
        <v>4441155</v>
      </c>
      <c r="I7" s="296">
        <v>4768656</v>
      </c>
      <c r="J7" s="764">
        <v>45784</v>
      </c>
      <c r="K7" s="296">
        <v>55137</v>
      </c>
      <c r="L7" s="1575">
        <v>136631.10999999999</v>
      </c>
      <c r="M7" s="1576">
        <v>118876.65</v>
      </c>
      <c r="N7" s="7"/>
    </row>
    <row r="8" spans="1:14" ht="24.95" customHeight="1">
      <c r="A8" s="528" t="s">
        <v>1492</v>
      </c>
      <c r="B8" s="525" t="s">
        <v>999</v>
      </c>
      <c r="C8" s="77">
        <v>76837</v>
      </c>
      <c r="D8" s="513">
        <v>176555</v>
      </c>
      <c r="E8" s="39">
        <v>170892</v>
      </c>
      <c r="F8" s="513">
        <v>217523</v>
      </c>
      <c r="G8" s="77">
        <v>227930</v>
      </c>
      <c r="H8" s="513">
        <v>169473</v>
      </c>
      <c r="I8" s="77">
        <v>153142</v>
      </c>
      <c r="J8" s="513">
        <v>104391</v>
      </c>
      <c r="K8" s="77">
        <v>163502</v>
      </c>
      <c r="L8" s="1577">
        <v>2682.94</v>
      </c>
      <c r="M8" s="1578">
        <v>2207.12</v>
      </c>
      <c r="N8" s="7"/>
    </row>
    <row r="9" spans="1:14" ht="24.95" customHeight="1">
      <c r="A9" s="528" t="s">
        <v>1852</v>
      </c>
      <c r="B9" s="525" t="s">
        <v>1000</v>
      </c>
      <c r="C9" s="77">
        <v>37047</v>
      </c>
      <c r="D9" s="513">
        <v>73119</v>
      </c>
      <c r="E9" s="512">
        <v>98285</v>
      </c>
      <c r="F9" s="513">
        <v>100239</v>
      </c>
      <c r="G9" s="513">
        <v>88412</v>
      </c>
      <c r="H9" s="513">
        <v>153996</v>
      </c>
      <c r="I9" s="513">
        <v>91270</v>
      </c>
      <c r="J9" s="513">
        <v>79649</v>
      </c>
      <c r="K9" s="513">
        <v>65292</v>
      </c>
      <c r="L9" s="1577">
        <v>28058.3</v>
      </c>
      <c r="M9" s="1577">
        <v>45604.23</v>
      </c>
      <c r="N9" s="7"/>
    </row>
    <row r="10" spans="1:14" ht="24.95" customHeight="1">
      <c r="A10" s="264" t="s">
        <v>1854</v>
      </c>
      <c r="B10" s="461" t="s">
        <v>996</v>
      </c>
      <c r="C10" s="77">
        <v>424368</v>
      </c>
      <c r="D10" s="513">
        <v>822378</v>
      </c>
      <c r="E10" s="513">
        <v>597299</v>
      </c>
      <c r="F10" s="513">
        <v>247698</v>
      </c>
      <c r="G10" s="513">
        <v>200492</v>
      </c>
      <c r="H10" s="513">
        <v>535792</v>
      </c>
      <c r="I10" s="513">
        <v>511729</v>
      </c>
      <c r="J10" s="513">
        <v>302877</v>
      </c>
      <c r="K10" s="513">
        <v>142895</v>
      </c>
      <c r="L10" s="1577">
        <v>1009460.9</v>
      </c>
      <c r="M10" s="1577">
        <v>601480.39</v>
      </c>
      <c r="N10" s="7"/>
    </row>
    <row r="11" spans="1:14" ht="24.95" customHeight="1">
      <c r="A11" s="528" t="s">
        <v>1221</v>
      </c>
      <c r="B11" s="461" t="s">
        <v>997</v>
      </c>
      <c r="C11" s="77">
        <v>53128</v>
      </c>
      <c r="D11" s="513">
        <v>275337</v>
      </c>
      <c r="E11" s="512">
        <v>134659</v>
      </c>
      <c r="F11" s="513">
        <v>315733</v>
      </c>
      <c r="G11" s="513">
        <v>189413</v>
      </c>
      <c r="H11" s="513">
        <v>208781</v>
      </c>
      <c r="I11" s="513">
        <v>132980</v>
      </c>
      <c r="J11" s="513">
        <v>104391</v>
      </c>
      <c r="K11" s="513">
        <v>163502</v>
      </c>
      <c r="L11" s="1577">
        <v>1134300</v>
      </c>
      <c r="M11" s="1577">
        <v>1133100</v>
      </c>
      <c r="N11" s="7"/>
    </row>
    <row r="12" spans="1:14" ht="24.95" customHeight="1">
      <c r="A12" s="264" t="s">
        <v>1853</v>
      </c>
      <c r="B12" s="461" t="s">
        <v>997</v>
      </c>
      <c r="C12" s="77">
        <v>25922</v>
      </c>
      <c r="D12" s="513">
        <v>37506</v>
      </c>
      <c r="E12" s="512">
        <v>32655</v>
      </c>
      <c r="F12" s="513">
        <v>20384</v>
      </c>
      <c r="G12" s="513">
        <v>31595</v>
      </c>
      <c r="H12" s="513">
        <v>27950</v>
      </c>
      <c r="I12" s="513">
        <v>29446</v>
      </c>
      <c r="J12" s="513">
        <v>59158</v>
      </c>
      <c r="K12" s="513">
        <v>59863</v>
      </c>
      <c r="L12" s="1577">
        <v>121941</v>
      </c>
      <c r="M12" s="1577">
        <v>77265</v>
      </c>
      <c r="N12" s="7"/>
    </row>
    <row r="13" spans="1:14" ht="24.95" customHeight="1">
      <c r="A13" s="529" t="s">
        <v>1560</v>
      </c>
      <c r="B13" s="526" t="s">
        <v>998</v>
      </c>
      <c r="C13" s="78">
        <v>41802</v>
      </c>
      <c r="D13" s="78">
        <v>551090</v>
      </c>
      <c r="E13" s="25">
        <v>553792</v>
      </c>
      <c r="F13" s="78">
        <v>451990</v>
      </c>
      <c r="G13" s="78">
        <v>420466</v>
      </c>
      <c r="H13" s="78">
        <v>29151</v>
      </c>
      <c r="I13" s="78">
        <v>27693</v>
      </c>
      <c r="J13" s="78">
        <v>160455</v>
      </c>
      <c r="K13" s="78">
        <v>154740</v>
      </c>
      <c r="L13" s="1579">
        <v>45406</v>
      </c>
      <c r="M13" s="1579">
        <v>47761</v>
      </c>
      <c r="N13" s="7"/>
    </row>
    <row r="14" spans="1:14">
      <c r="I14" s="7"/>
      <c r="J14" s="98"/>
      <c r="K14" s="98"/>
      <c r="L14" s="98"/>
      <c r="M14" s="1008" t="s">
        <v>808</v>
      </c>
    </row>
    <row r="15" spans="1:14">
      <c r="I15" s="7"/>
      <c r="J15" s="98"/>
      <c r="K15" s="98"/>
      <c r="L15" s="98"/>
      <c r="M15" s="94"/>
    </row>
    <row r="16" spans="1:14">
      <c r="I16" s="7"/>
      <c r="J16" s="98"/>
      <c r="K16" s="98"/>
      <c r="L16" s="98"/>
      <c r="M16" s="94"/>
    </row>
    <row r="17" spans="1:13" ht="17.25" customHeight="1">
      <c r="A17" s="1739" t="s">
        <v>1336</v>
      </c>
      <c r="B17" s="1739"/>
      <c r="C17" s="1739"/>
      <c r="D17" s="1739"/>
      <c r="E17" s="1739"/>
      <c r="F17" s="1739"/>
      <c r="G17" s="1739"/>
      <c r="H17" s="1739"/>
      <c r="I17" s="1739"/>
      <c r="J17" s="1739"/>
      <c r="K17" s="1739"/>
      <c r="L17" s="1739"/>
      <c r="M17" s="1739"/>
    </row>
    <row r="18" spans="1:13" ht="19.5" customHeight="1">
      <c r="A18" s="1720" t="str">
        <f>CONCATENATE("Receipt &amp; Expenditure of Zilla Parishad in the district of  ",District!$A$1,"")</f>
        <v>Receipt &amp; Expenditure of Zilla Parishad in the district of  South 24-Parganas</v>
      </c>
      <c r="B18" s="1720"/>
      <c r="C18" s="1720"/>
      <c r="D18" s="1720"/>
      <c r="E18" s="1720"/>
      <c r="F18" s="1720"/>
      <c r="G18" s="1720"/>
      <c r="H18" s="1720"/>
      <c r="I18" s="1720"/>
      <c r="J18" s="1720"/>
      <c r="K18" s="1720"/>
      <c r="L18" s="1720"/>
      <c r="M18" s="1720"/>
    </row>
    <row r="19" spans="1:13" ht="12.75" customHeight="1">
      <c r="C19" s="3"/>
      <c r="D19" s="3"/>
      <c r="E19" s="3"/>
      <c r="F19" s="563"/>
      <c r="G19" s="3"/>
      <c r="H19" s="3"/>
      <c r="I19" s="3"/>
      <c r="J19" s="3"/>
      <c r="K19" s="3"/>
      <c r="L19" s="3"/>
      <c r="M19" s="95" t="s">
        <v>1016</v>
      </c>
    </row>
    <row r="20" spans="1:13" ht="20.100000000000001" customHeight="1">
      <c r="A20" s="2086" t="s">
        <v>547</v>
      </c>
      <c r="B20" s="2087"/>
      <c r="C20" s="2255" t="s">
        <v>1113</v>
      </c>
      <c r="D20" s="1732" t="s">
        <v>1317</v>
      </c>
      <c r="E20" s="1714"/>
      <c r="F20" s="1732" t="s">
        <v>221</v>
      </c>
      <c r="G20" s="1714"/>
      <c r="H20" s="1713" t="s">
        <v>1301</v>
      </c>
      <c r="I20" s="1714"/>
      <c r="J20" s="1713" t="s">
        <v>621</v>
      </c>
      <c r="K20" s="1714"/>
      <c r="L20" s="1713" t="s">
        <v>206</v>
      </c>
      <c r="M20" s="1714"/>
    </row>
    <row r="21" spans="1:13" ht="19.5" customHeight="1">
      <c r="A21" s="2250"/>
      <c r="B21" s="2251"/>
      <c r="C21" s="2256"/>
      <c r="D21" s="1315" t="s">
        <v>1125</v>
      </c>
      <c r="E21" s="312" t="s">
        <v>1552</v>
      </c>
      <c r="F21" s="1316" t="s">
        <v>1125</v>
      </c>
      <c r="G21" s="312" t="s">
        <v>1552</v>
      </c>
      <c r="H21" s="1316" t="s">
        <v>1125</v>
      </c>
      <c r="I21" s="312" t="s">
        <v>1552</v>
      </c>
      <c r="J21" s="1316" t="s">
        <v>1125</v>
      </c>
      <c r="K21" s="312" t="s">
        <v>1552</v>
      </c>
      <c r="L21" s="1315" t="s">
        <v>1125</v>
      </c>
      <c r="M21" s="312" t="s">
        <v>1552</v>
      </c>
    </row>
    <row r="22" spans="1:13" ht="20.100000000000001" customHeight="1">
      <c r="A22" s="1716" t="s">
        <v>928</v>
      </c>
      <c r="B22" s="1797"/>
      <c r="C22" s="120" t="s">
        <v>929</v>
      </c>
      <c r="D22" s="119" t="s">
        <v>930</v>
      </c>
      <c r="E22" s="199" t="s">
        <v>931</v>
      </c>
      <c r="F22" s="119" t="s">
        <v>932</v>
      </c>
      <c r="G22" s="199" t="s">
        <v>933</v>
      </c>
      <c r="H22" s="119" t="s">
        <v>934</v>
      </c>
      <c r="I22" s="199" t="s">
        <v>959</v>
      </c>
      <c r="J22" s="119" t="s">
        <v>960</v>
      </c>
      <c r="K22" s="199" t="s">
        <v>961</v>
      </c>
      <c r="L22" s="118" t="s">
        <v>962</v>
      </c>
      <c r="M22" s="123" t="s">
        <v>1037</v>
      </c>
    </row>
    <row r="23" spans="1:13" ht="47.25" customHeight="1">
      <c r="A23" s="1827" t="s">
        <v>487</v>
      </c>
      <c r="B23" s="1811"/>
      <c r="C23" s="821" t="s">
        <v>687</v>
      </c>
      <c r="D23" s="74">
        <v>2336504</v>
      </c>
      <c r="E23" s="78">
        <v>2328555</v>
      </c>
      <c r="F23" s="74">
        <v>2621142</v>
      </c>
      <c r="G23" s="78">
        <v>2550659</v>
      </c>
      <c r="H23" s="74">
        <v>2898711</v>
      </c>
      <c r="I23" s="78">
        <v>281226</v>
      </c>
      <c r="J23" s="74">
        <v>4715725</v>
      </c>
      <c r="K23" s="78">
        <v>4393817</v>
      </c>
      <c r="L23" s="74">
        <v>4979789</v>
      </c>
      <c r="M23" s="78">
        <v>4379643</v>
      </c>
    </row>
    <row r="24" spans="1:13">
      <c r="B24" s="451"/>
      <c r="K24" s="98"/>
      <c r="L24" s="98"/>
      <c r="M24" s="1008" t="s">
        <v>1338</v>
      </c>
    </row>
  </sheetData>
  <mergeCells count="22">
    <mergeCell ref="A1:M1"/>
    <mergeCell ref="A17:M17"/>
    <mergeCell ref="A18:M18"/>
    <mergeCell ref="A20:B21"/>
    <mergeCell ref="A2:M2"/>
    <mergeCell ref="L20:M20"/>
    <mergeCell ref="B4:B5"/>
    <mergeCell ref="C4:C5"/>
    <mergeCell ref="C20:C21"/>
    <mergeCell ref="H20:I20"/>
    <mergeCell ref="H4:I4"/>
    <mergeCell ref="L4:M4"/>
    <mergeCell ref="L3:M3"/>
    <mergeCell ref="J4:K4"/>
    <mergeCell ref="J20:K20"/>
    <mergeCell ref="F4:G4"/>
    <mergeCell ref="F20:G20"/>
    <mergeCell ref="A22:B22"/>
    <mergeCell ref="A4:A5"/>
    <mergeCell ref="D4:E4"/>
    <mergeCell ref="A23:B23"/>
    <mergeCell ref="D20:E20"/>
  </mergeCells>
  <phoneticPr fontId="0" type="noConversion"/>
  <conditionalFormatting sqref="D4 F4 H4:M4 D20 F20 H20:M20">
    <cfRule type="cellIs" dxfId="4" priority="1" stopIfTrue="1" operator="equal">
      <formula>".."</formula>
    </cfRule>
  </conditionalFormatting>
  <printOptions horizontalCentered="1"/>
  <pageMargins left="0.1" right="0.1" top="0.65" bottom="0.1" header="0.5" footer="0.1"/>
  <pageSetup paperSize="9" orientation="landscape" blackAndWhite="1" r:id="rId1"/>
  <headerFooter alignWithMargins="0"/>
</worksheet>
</file>

<file path=xl/worksheets/sheet73.xml><?xml version="1.0" encoding="utf-8"?>
<worksheet xmlns="http://schemas.openxmlformats.org/spreadsheetml/2006/main" xmlns:r="http://schemas.openxmlformats.org/officeDocument/2006/relationships">
  <dimension ref="A1:N12"/>
  <sheetViews>
    <sheetView workbookViewId="0">
      <selection activeCell="J11" sqref="J11"/>
    </sheetView>
  </sheetViews>
  <sheetFormatPr defaultRowHeight="12.75"/>
  <cols>
    <col min="1" max="1" width="13.28515625" customWidth="1"/>
    <col min="2" max="12" width="10.5703125" customWidth="1"/>
  </cols>
  <sheetData>
    <row r="1" spans="1:14" ht="16.5" customHeight="1">
      <c r="A1" s="1708" t="s">
        <v>818</v>
      </c>
      <c r="B1" s="1708"/>
      <c r="C1" s="1708"/>
      <c r="D1" s="1708"/>
      <c r="E1" s="1708"/>
      <c r="F1" s="1708"/>
      <c r="G1" s="1708"/>
      <c r="H1" s="1708"/>
      <c r="I1" s="1708"/>
      <c r="J1" s="1708"/>
      <c r="K1" s="1708"/>
      <c r="L1" s="1708"/>
    </row>
    <row r="2" spans="1:14" ht="16.5" customHeight="1">
      <c r="A2" s="1949" t="str">
        <f>CONCATENATE("Revenue collected from different sources in the district of ",District!$A$1)</f>
        <v>Revenue collected from different sources in the district of South 24-Parganas</v>
      </c>
      <c r="B2" s="1949"/>
      <c r="C2" s="1949"/>
      <c r="D2" s="1949"/>
      <c r="E2" s="1949"/>
      <c r="F2" s="1949"/>
      <c r="G2" s="1949"/>
      <c r="H2" s="1949"/>
      <c r="I2" s="1949"/>
      <c r="J2" s="1949"/>
      <c r="K2" s="1949"/>
      <c r="L2" s="1949"/>
    </row>
    <row r="3" spans="1:14" ht="12" customHeight="1">
      <c r="B3" s="7"/>
      <c r="C3" s="7"/>
      <c r="D3" s="7"/>
      <c r="E3" s="7"/>
      <c r="F3" s="7"/>
      <c r="G3" s="7"/>
      <c r="H3" s="7"/>
      <c r="I3" s="7"/>
      <c r="J3" s="7"/>
      <c r="K3" s="7"/>
      <c r="L3" s="92" t="s">
        <v>1016</v>
      </c>
    </row>
    <row r="4" spans="1:14" s="10" customFormat="1" ht="58.5" customHeight="1">
      <c r="A4" s="735" t="s">
        <v>671</v>
      </c>
      <c r="B4" s="252" t="s">
        <v>3</v>
      </c>
      <c r="C4" s="252" t="s">
        <v>4</v>
      </c>
      <c r="D4" s="252" t="s">
        <v>5</v>
      </c>
      <c r="E4" s="252" t="s">
        <v>6</v>
      </c>
      <c r="F4" s="694" t="s">
        <v>7</v>
      </c>
      <c r="G4" s="909" t="s">
        <v>10</v>
      </c>
      <c r="H4" s="252" t="s">
        <v>8</v>
      </c>
      <c r="I4" s="909" t="s">
        <v>1463</v>
      </c>
      <c r="J4" s="252" t="s">
        <v>11</v>
      </c>
      <c r="K4" s="252" t="s">
        <v>9</v>
      </c>
      <c r="L4" s="694" t="s">
        <v>958</v>
      </c>
    </row>
    <row r="5" spans="1:14" s="10" customFormat="1" ht="24" customHeight="1">
      <c r="A5" s="118" t="s">
        <v>928</v>
      </c>
      <c r="B5" s="194" t="s">
        <v>929</v>
      </c>
      <c r="C5" s="194" t="s">
        <v>930</v>
      </c>
      <c r="D5" s="194" t="s">
        <v>931</v>
      </c>
      <c r="E5" s="194" t="s">
        <v>932</v>
      </c>
      <c r="F5" s="295" t="s">
        <v>933</v>
      </c>
      <c r="G5" s="195" t="s">
        <v>934</v>
      </c>
      <c r="H5" s="194" t="s">
        <v>959</v>
      </c>
      <c r="I5" s="195" t="s">
        <v>960</v>
      </c>
      <c r="J5" s="194" t="s">
        <v>961</v>
      </c>
      <c r="K5" s="194" t="s">
        <v>962</v>
      </c>
      <c r="L5" s="295" t="s">
        <v>1037</v>
      </c>
    </row>
    <row r="6" spans="1:14" ht="36" customHeight="1">
      <c r="A6" s="299" t="s">
        <v>1317</v>
      </c>
      <c r="B6" s="392">
        <v>173018</v>
      </c>
      <c r="C6" s="392">
        <v>2796212</v>
      </c>
      <c r="D6" s="392">
        <v>874465</v>
      </c>
      <c r="E6" s="392">
        <v>444501</v>
      </c>
      <c r="F6" s="537">
        <v>584387</v>
      </c>
      <c r="G6" s="537">
        <v>7469</v>
      </c>
      <c r="H6" s="537">
        <v>12067</v>
      </c>
      <c r="I6" s="537" t="s">
        <v>857</v>
      </c>
      <c r="J6" s="370">
        <v>110667</v>
      </c>
      <c r="K6" s="537" t="s">
        <v>857</v>
      </c>
      <c r="L6" s="537">
        <f>SUM(B6:K6)</f>
        <v>5002786</v>
      </c>
      <c r="N6" s="512"/>
    </row>
    <row r="7" spans="1:14" ht="36" customHeight="1">
      <c r="A7" s="299" t="s">
        <v>221</v>
      </c>
      <c r="B7" s="392">
        <v>329594</v>
      </c>
      <c r="C7" s="392">
        <v>3728091</v>
      </c>
      <c r="D7" s="392">
        <v>1428727</v>
      </c>
      <c r="E7" s="392">
        <v>481218</v>
      </c>
      <c r="F7" s="392">
        <v>630309</v>
      </c>
      <c r="G7" s="392">
        <v>8721</v>
      </c>
      <c r="H7" s="392">
        <v>835</v>
      </c>
      <c r="I7" s="392" t="s">
        <v>857</v>
      </c>
      <c r="J7" s="370">
        <v>105744</v>
      </c>
      <c r="K7" s="392">
        <v>25904</v>
      </c>
      <c r="L7" s="392">
        <f>SUM(B7:K7)</f>
        <v>6739143</v>
      </c>
      <c r="N7" s="7"/>
    </row>
    <row r="8" spans="1:14" ht="36" customHeight="1">
      <c r="A8" s="299" t="s">
        <v>1301</v>
      </c>
      <c r="B8" s="392">
        <v>292589</v>
      </c>
      <c r="C8" s="392">
        <v>4857733</v>
      </c>
      <c r="D8" s="392">
        <v>393339</v>
      </c>
      <c r="E8" s="392">
        <v>207075</v>
      </c>
      <c r="F8" s="392">
        <v>617530</v>
      </c>
      <c r="G8" s="392">
        <v>4041</v>
      </c>
      <c r="H8" s="392">
        <v>6404</v>
      </c>
      <c r="I8" s="392" t="s">
        <v>857</v>
      </c>
      <c r="J8" s="370">
        <v>75792</v>
      </c>
      <c r="K8" s="392">
        <v>120230</v>
      </c>
      <c r="L8" s="392">
        <f>SUM(B8:K8)</f>
        <v>6574733</v>
      </c>
      <c r="N8" s="512"/>
    </row>
    <row r="9" spans="1:14" ht="36" customHeight="1">
      <c r="A9" s="299" t="s">
        <v>621</v>
      </c>
      <c r="B9" s="392">
        <v>375797</v>
      </c>
      <c r="C9" s="392">
        <v>8622391</v>
      </c>
      <c r="D9" s="392">
        <v>188508</v>
      </c>
      <c r="E9" s="392">
        <v>781750</v>
      </c>
      <c r="F9" s="392">
        <v>700743</v>
      </c>
      <c r="G9" s="392">
        <v>4614</v>
      </c>
      <c r="H9" s="392">
        <v>1250</v>
      </c>
      <c r="I9" s="392" t="s">
        <v>857</v>
      </c>
      <c r="J9" s="370">
        <v>97750</v>
      </c>
      <c r="K9" s="392">
        <v>9356</v>
      </c>
      <c r="L9" s="392">
        <f>SUM(B9:K9)</f>
        <v>10782159</v>
      </c>
    </row>
    <row r="10" spans="1:14" ht="36" customHeight="1">
      <c r="A10" s="300" t="s">
        <v>206</v>
      </c>
      <c r="B10" s="443">
        <v>617501</v>
      </c>
      <c r="C10" s="443">
        <v>8675348</v>
      </c>
      <c r="D10" s="443">
        <v>51055</v>
      </c>
      <c r="E10" s="443">
        <v>701967</v>
      </c>
      <c r="F10" s="443">
        <v>809610</v>
      </c>
      <c r="G10" s="443">
        <v>5700</v>
      </c>
      <c r="H10" s="443">
        <v>1367</v>
      </c>
      <c r="I10" s="443" t="s">
        <v>857</v>
      </c>
      <c r="J10" s="443">
        <v>98103</v>
      </c>
      <c r="K10" s="443">
        <v>1026</v>
      </c>
      <c r="L10" s="443">
        <f>SUM(B10:K10)</f>
        <v>10961677</v>
      </c>
    </row>
    <row r="11" spans="1:14">
      <c r="A11" s="1496"/>
      <c r="B11" s="1496"/>
      <c r="C11" s="1009"/>
      <c r="D11" s="1009"/>
      <c r="E11" s="1009"/>
      <c r="F11" s="1009"/>
      <c r="G11" s="1009"/>
      <c r="H11" s="1009"/>
      <c r="I11" s="1009"/>
      <c r="J11" s="1009">
        <v>1026</v>
      </c>
      <c r="K11" s="1009"/>
      <c r="L11" s="1008" t="s">
        <v>817</v>
      </c>
      <c r="M11" s="1009"/>
    </row>
    <row r="12" spans="1:14">
      <c r="C12" s="1009"/>
      <c r="D12" s="1009"/>
      <c r="E12" s="1009"/>
      <c r="F12" s="1009"/>
      <c r="G12" s="1009"/>
      <c r="H12" s="1009"/>
      <c r="I12" s="1009"/>
      <c r="J12" s="1009"/>
      <c r="K12" s="1009"/>
      <c r="L12" s="1009"/>
      <c r="M12" s="1009"/>
    </row>
  </sheetData>
  <mergeCells count="2">
    <mergeCell ref="A2:L2"/>
    <mergeCell ref="A1:L1"/>
  </mergeCells>
  <phoneticPr fontId="0" type="noConversion"/>
  <conditionalFormatting sqref="A10:B11 A13:B65536 M1:IV1048576 C10:L65536 A1:L9">
    <cfRule type="cellIs" dxfId="3" priority="1" stopIfTrue="1" operator="equal">
      <formula>".."</formula>
    </cfRule>
  </conditionalFormatting>
  <printOptions horizontalCentered="1"/>
  <pageMargins left="0.1" right="0.1" top="0.92" bottom="0.1" header="0.16" footer="0.1"/>
  <pageSetup paperSize="9" orientation="landscape" blackAndWhite="1" r:id="rId1"/>
  <headerFooter alignWithMargins="0"/>
</worksheet>
</file>

<file path=xl/worksheets/sheet74.xml><?xml version="1.0" encoding="utf-8"?>
<worksheet xmlns="http://schemas.openxmlformats.org/spreadsheetml/2006/main" xmlns:r="http://schemas.openxmlformats.org/officeDocument/2006/relationships">
  <sheetPr codeName="Sheet41"/>
  <dimension ref="A1:C55"/>
  <sheetViews>
    <sheetView workbookViewId="0">
      <selection activeCell="J11" sqref="J11"/>
    </sheetView>
  </sheetViews>
  <sheetFormatPr defaultRowHeight="12.4" customHeight="1"/>
  <cols>
    <col min="1" max="2" width="39.140625" customWidth="1"/>
  </cols>
  <sheetData>
    <row r="1" spans="1:3" ht="14.25" customHeight="1">
      <c r="A1" s="1948" t="s">
        <v>819</v>
      </c>
      <c r="B1" s="1948"/>
    </row>
    <row r="2" spans="1:3" ht="16.5" customHeight="1">
      <c r="A2" s="1796" t="str">
        <f>CONCATENATE("Net Collection from Small Savings in the district of ",District!$A$1)</f>
        <v>Net Collection from Small Savings in the district of South 24-Parganas</v>
      </c>
      <c r="B2" s="1796"/>
      <c r="C2" s="24"/>
    </row>
    <row r="3" spans="1:3" ht="13.5" customHeight="1">
      <c r="B3" s="92" t="s">
        <v>1017</v>
      </c>
    </row>
    <row r="4" spans="1:3" ht="13.5" customHeight="1">
      <c r="A4" s="252" t="s">
        <v>671</v>
      </c>
      <c r="B4" s="337" t="s">
        <v>468</v>
      </c>
    </row>
    <row r="5" spans="1:3" ht="14.25" customHeight="1">
      <c r="A5" s="199" t="s">
        <v>928</v>
      </c>
      <c r="B5" s="120" t="s">
        <v>929</v>
      </c>
    </row>
    <row r="6" spans="1:3" ht="13.5" customHeight="1">
      <c r="A6" s="226" t="s">
        <v>1317</v>
      </c>
      <c r="B6" s="516">
        <v>12581798</v>
      </c>
    </row>
    <row r="7" spans="1:3" ht="13.5" customHeight="1">
      <c r="A7" s="226" t="s">
        <v>221</v>
      </c>
      <c r="B7" s="516">
        <v>14138214</v>
      </c>
    </row>
    <row r="8" spans="1:3" ht="13.5" customHeight="1">
      <c r="A8" s="226" t="s">
        <v>1301</v>
      </c>
      <c r="B8" s="516" t="s">
        <v>794</v>
      </c>
    </row>
    <row r="9" spans="1:3" ht="13.5" customHeight="1">
      <c r="A9" s="226" t="s">
        <v>621</v>
      </c>
      <c r="B9" s="1360" t="s">
        <v>582</v>
      </c>
    </row>
    <row r="10" spans="1:3" ht="13.5" customHeight="1">
      <c r="A10" s="226" t="s">
        <v>206</v>
      </c>
      <c r="B10" s="1360" t="s">
        <v>1866</v>
      </c>
    </row>
    <row r="11" spans="1:3" ht="15" customHeight="1">
      <c r="A11" s="530" t="s">
        <v>1355</v>
      </c>
      <c r="B11" s="459" t="str">
        <f>"Year: "  &amp;  A10</f>
        <v>Year: 2013-14</v>
      </c>
    </row>
    <row r="12" spans="1:3" ht="13.5" customHeight="1">
      <c r="A12" s="349" t="s">
        <v>24</v>
      </c>
      <c r="B12" s="368">
        <f>SUM(B13:B20)</f>
        <v>34351</v>
      </c>
    </row>
    <row r="13" spans="1:3" ht="13.5" customHeight="1">
      <c r="A13" s="531" t="s">
        <v>2</v>
      </c>
      <c r="B13" s="82">
        <v>12860</v>
      </c>
    </row>
    <row r="14" spans="1:3" ht="13.5" customHeight="1">
      <c r="A14" s="532" t="s">
        <v>1214</v>
      </c>
      <c r="B14" s="82">
        <v>5648</v>
      </c>
    </row>
    <row r="15" spans="1:3" ht="13.5" customHeight="1">
      <c r="A15" s="532" t="s">
        <v>1211</v>
      </c>
      <c r="B15" s="82">
        <v>6401</v>
      </c>
    </row>
    <row r="16" spans="1:3" ht="13.5" customHeight="1">
      <c r="A16" s="532" t="s">
        <v>1212</v>
      </c>
      <c r="B16" s="82">
        <v>5800</v>
      </c>
    </row>
    <row r="17" spans="1:2" ht="13.5" customHeight="1">
      <c r="A17" s="532" t="s">
        <v>1213</v>
      </c>
      <c r="B17" s="82">
        <v>3642</v>
      </c>
    </row>
    <row r="18" spans="1:2" ht="13.5" customHeight="1">
      <c r="A18" s="532" t="s">
        <v>1215</v>
      </c>
      <c r="B18" s="301" t="s">
        <v>857</v>
      </c>
    </row>
    <row r="19" spans="1:2" ht="13.5" customHeight="1">
      <c r="A19" s="532" t="s">
        <v>1216</v>
      </c>
      <c r="B19" s="301" t="s">
        <v>857</v>
      </c>
    </row>
    <row r="20" spans="1:2" ht="13.5" customHeight="1">
      <c r="A20" s="532" t="s">
        <v>1217</v>
      </c>
      <c r="B20" s="301" t="s">
        <v>857</v>
      </c>
    </row>
    <row r="21" spans="1:2" ht="13.5" customHeight="1">
      <c r="A21" s="377" t="s">
        <v>314</v>
      </c>
      <c r="B21" s="368">
        <f>SUM(B22:B31)</f>
        <v>87601</v>
      </c>
    </row>
    <row r="22" spans="1:2" ht="13.5" customHeight="1">
      <c r="A22" s="532" t="s">
        <v>1218</v>
      </c>
      <c r="B22" s="82">
        <v>24250</v>
      </c>
    </row>
    <row r="23" spans="1:2" ht="13.5" customHeight="1">
      <c r="A23" s="532" t="s">
        <v>759</v>
      </c>
      <c r="B23" s="82">
        <v>16875</v>
      </c>
    </row>
    <row r="24" spans="1:2" ht="13.5" customHeight="1">
      <c r="A24" s="532" t="s">
        <v>760</v>
      </c>
      <c r="B24" s="82">
        <v>6100</v>
      </c>
    </row>
    <row r="25" spans="1:2" ht="13.5" customHeight="1">
      <c r="A25" s="532" t="s">
        <v>1194</v>
      </c>
      <c r="B25" s="82">
        <v>2405</v>
      </c>
    </row>
    <row r="26" spans="1:2" ht="13.5" customHeight="1">
      <c r="A26" s="532" t="s">
        <v>1735</v>
      </c>
      <c r="B26" s="82">
        <v>26450</v>
      </c>
    </row>
    <row r="27" spans="1:2" ht="13.5" customHeight="1">
      <c r="A27" s="532" t="s">
        <v>761</v>
      </c>
      <c r="B27" s="82">
        <v>7200</v>
      </c>
    </row>
    <row r="28" spans="1:2" ht="13.5" customHeight="1">
      <c r="A28" s="532" t="s">
        <v>762</v>
      </c>
      <c r="B28" s="82">
        <v>4321</v>
      </c>
    </row>
    <row r="29" spans="1:2" ht="13.5" customHeight="1">
      <c r="A29" s="532" t="s">
        <v>836</v>
      </c>
      <c r="B29" s="301" t="s">
        <v>857</v>
      </c>
    </row>
    <row r="30" spans="1:2" ht="13.5" customHeight="1">
      <c r="A30" s="532" t="s">
        <v>1222</v>
      </c>
      <c r="B30" s="301" t="s">
        <v>857</v>
      </c>
    </row>
    <row r="31" spans="1:2" ht="13.5" customHeight="1">
      <c r="A31" s="532" t="s">
        <v>1736</v>
      </c>
      <c r="B31" s="301" t="s">
        <v>857</v>
      </c>
    </row>
    <row r="32" spans="1:2" ht="13.5" customHeight="1">
      <c r="A32" s="533" t="s">
        <v>315</v>
      </c>
      <c r="B32" s="368">
        <f>SUM(B33:B36)</f>
        <v>14533</v>
      </c>
    </row>
    <row r="33" spans="1:2" ht="13.5" customHeight="1">
      <c r="A33" s="532" t="s">
        <v>1223</v>
      </c>
      <c r="B33" s="82">
        <v>11245</v>
      </c>
    </row>
    <row r="34" spans="1:2" ht="13.5" customHeight="1">
      <c r="A34" s="532" t="s">
        <v>1224</v>
      </c>
      <c r="B34" s="82">
        <v>360</v>
      </c>
    </row>
    <row r="35" spans="1:2" ht="13.5" customHeight="1">
      <c r="A35" s="532" t="s">
        <v>1197</v>
      </c>
      <c r="B35" s="82">
        <v>478</v>
      </c>
    </row>
    <row r="36" spans="1:2" ht="13.5" customHeight="1">
      <c r="A36" s="532" t="s">
        <v>1198</v>
      </c>
      <c r="B36" s="82">
        <v>2450</v>
      </c>
    </row>
    <row r="37" spans="1:2" ht="13.5" customHeight="1">
      <c r="A37" s="533" t="s">
        <v>316</v>
      </c>
      <c r="B37" s="368">
        <f>SUM(B38:B47)</f>
        <v>76189</v>
      </c>
    </row>
    <row r="38" spans="1:2" ht="13.5" customHeight="1">
      <c r="A38" s="532" t="s">
        <v>1225</v>
      </c>
      <c r="B38" s="82">
        <v>2014</v>
      </c>
    </row>
    <row r="39" spans="1:2" ht="13.5" customHeight="1">
      <c r="A39" s="532" t="s">
        <v>1226</v>
      </c>
      <c r="B39" s="82">
        <v>7425</v>
      </c>
    </row>
    <row r="40" spans="1:2" ht="13.5" customHeight="1">
      <c r="A40" s="532" t="s">
        <v>837</v>
      </c>
      <c r="B40" s="82">
        <v>-2165</v>
      </c>
    </row>
    <row r="41" spans="1:2" ht="13.5" customHeight="1">
      <c r="A41" s="532" t="s">
        <v>1203</v>
      </c>
      <c r="B41" s="82">
        <v>19651</v>
      </c>
    </row>
    <row r="42" spans="1:2" ht="13.5" customHeight="1">
      <c r="A42" s="532" t="s">
        <v>1204</v>
      </c>
      <c r="B42" s="514">
        <v>9450</v>
      </c>
    </row>
    <row r="43" spans="1:2" ht="13.5" customHeight="1">
      <c r="A43" s="532" t="s">
        <v>1744</v>
      </c>
      <c r="B43" s="82">
        <v>20453</v>
      </c>
    </row>
    <row r="44" spans="1:2" ht="13.5" customHeight="1">
      <c r="A44" s="532" t="s">
        <v>1745</v>
      </c>
      <c r="B44" s="82">
        <v>17451</v>
      </c>
    </row>
    <row r="45" spans="1:2" ht="13.5" customHeight="1">
      <c r="A45" s="532" t="s">
        <v>1227</v>
      </c>
      <c r="B45" s="82">
        <v>4052</v>
      </c>
    </row>
    <row r="46" spans="1:2" ht="13.5" customHeight="1">
      <c r="A46" s="532" t="s">
        <v>1228</v>
      </c>
      <c r="B46" s="82">
        <v>-2142</v>
      </c>
    </row>
    <row r="47" spans="1:2" ht="13.5" customHeight="1">
      <c r="A47" s="532" t="s">
        <v>863</v>
      </c>
      <c r="B47" s="301" t="s">
        <v>857</v>
      </c>
    </row>
    <row r="48" spans="1:2" ht="13.5" customHeight="1">
      <c r="A48" s="533" t="s">
        <v>317</v>
      </c>
      <c r="B48" s="368">
        <f>SUM(B49:B52)</f>
        <v>21006</v>
      </c>
    </row>
    <row r="49" spans="1:3" ht="13.5" customHeight="1">
      <c r="A49" s="532" t="s">
        <v>1543</v>
      </c>
      <c r="B49" s="82">
        <v>14242</v>
      </c>
    </row>
    <row r="50" spans="1:3" ht="13.5" customHeight="1">
      <c r="A50" s="532" t="s">
        <v>1206</v>
      </c>
      <c r="B50" s="82">
        <v>3456</v>
      </c>
    </row>
    <row r="51" spans="1:3" ht="13.5" customHeight="1">
      <c r="A51" s="532" t="s">
        <v>1207</v>
      </c>
      <c r="B51" s="82">
        <v>2561</v>
      </c>
    </row>
    <row r="52" spans="1:3" ht="13.5" customHeight="1">
      <c r="A52" s="534" t="s">
        <v>1208</v>
      </c>
      <c r="B52" s="75">
        <v>747</v>
      </c>
    </row>
    <row r="53" spans="1:3" ht="12.4" customHeight="1">
      <c r="A53" s="2063" t="s">
        <v>1029</v>
      </c>
      <c r="B53" s="2257" t="s">
        <v>200</v>
      </c>
    </row>
    <row r="54" spans="1:3" ht="15" customHeight="1">
      <c r="A54" s="2064"/>
      <c r="B54" s="2064"/>
      <c r="C54" s="154"/>
    </row>
    <row r="55" spans="1:3" ht="12.4" customHeight="1">
      <c r="A55" s="22"/>
      <c r="B55" s="22"/>
    </row>
  </sheetData>
  <mergeCells count="4">
    <mergeCell ref="A2:B2"/>
    <mergeCell ref="A1:B1"/>
    <mergeCell ref="B53:B54"/>
    <mergeCell ref="A53:A54"/>
  </mergeCells>
  <phoneticPr fontId="0" type="noConversion"/>
  <printOptions horizontalCentered="1"/>
  <pageMargins left="0.1" right="0.1" top="0.5" bottom="0.1" header="0.5" footer="0.1"/>
  <pageSetup paperSize="9" orientation="portrait" blackAndWhite="1" r:id="rId1"/>
  <headerFooter alignWithMargins="0"/>
</worksheet>
</file>

<file path=xl/worksheets/sheet75.xml><?xml version="1.0" encoding="utf-8"?>
<worksheet xmlns="http://schemas.openxmlformats.org/spreadsheetml/2006/main" xmlns:r="http://schemas.openxmlformats.org/officeDocument/2006/relationships">
  <dimension ref="A1"/>
  <sheetViews>
    <sheetView topLeftCell="A25" workbookViewId="0">
      <selection activeCell="K40" sqref="K40"/>
    </sheetView>
  </sheetViews>
  <sheetFormatPr defaultRowHeight="12.75"/>
  <sheetData/>
  <phoneticPr fontId="0" type="noConversion"/>
  <pageMargins left="0.75" right="0.75" top="1" bottom="1" header="0.5" footer="0.5"/>
  <pageSetup paperSize="9" orientation="portrait" r:id="rId1"/>
  <headerFooter alignWithMargins="0"/>
  <drawing r:id="rId2"/>
</worksheet>
</file>

<file path=xl/worksheets/sheet76.xml><?xml version="1.0" encoding="utf-8"?>
<worksheet xmlns="http://schemas.openxmlformats.org/spreadsheetml/2006/main" xmlns:r="http://schemas.openxmlformats.org/officeDocument/2006/relationships">
  <dimension ref="A1:I43"/>
  <sheetViews>
    <sheetView topLeftCell="A22" workbookViewId="0">
      <selection activeCell="O25" sqref="O25"/>
    </sheetView>
  </sheetViews>
  <sheetFormatPr defaultRowHeight="12.75"/>
  <cols>
    <col min="1" max="1" width="5.7109375" customWidth="1"/>
    <col min="2" max="2" width="21.5703125" customWidth="1"/>
    <col min="3" max="3" width="14.7109375" customWidth="1"/>
    <col min="4" max="4" width="8.85546875" customWidth="1"/>
    <col min="5" max="5" width="8.28515625" customWidth="1"/>
    <col min="6" max="6" width="9" customWidth="1"/>
    <col min="7" max="7" width="19.85546875" customWidth="1"/>
  </cols>
  <sheetData>
    <row r="1" spans="1:9" ht="18" customHeight="1">
      <c r="A1" s="1739" t="s">
        <v>820</v>
      </c>
      <c r="B1" s="1739"/>
      <c r="C1" s="1739"/>
      <c r="D1" s="1739"/>
      <c r="E1" s="1739"/>
      <c r="F1" s="1739"/>
      <c r="G1" s="1739"/>
    </row>
    <row r="2" spans="1:9" ht="26.25" customHeight="1">
      <c r="A2" s="2224" t="str">
        <f>CONCATENATE("Some Basic Statistics about the Blocks of ",District!$A$1, " for the year ",District!F3)</f>
        <v>Some Basic Statistics about the Blocks of South 24-Parganas for the year 2013-14</v>
      </c>
      <c r="B2" s="2224"/>
      <c r="C2" s="2224"/>
      <c r="D2" s="2224"/>
      <c r="E2" s="2224"/>
      <c r="F2" s="2224"/>
      <c r="G2" s="2224"/>
    </row>
    <row r="3" spans="1:9" ht="42.75" customHeight="1">
      <c r="A3" s="455" t="s">
        <v>1292</v>
      </c>
      <c r="B3" s="347" t="s">
        <v>235</v>
      </c>
      <c r="C3" s="464" t="s">
        <v>1019</v>
      </c>
      <c r="D3" s="466" t="s">
        <v>1151</v>
      </c>
      <c r="E3" s="464" t="s">
        <v>1152</v>
      </c>
      <c r="F3" s="466" t="s">
        <v>1153</v>
      </c>
      <c r="G3" s="465" t="s">
        <v>1154</v>
      </c>
    </row>
    <row r="4" spans="1:9" ht="18.75" customHeight="1">
      <c r="A4" s="121" t="s">
        <v>928</v>
      </c>
      <c r="B4" s="199" t="s">
        <v>929</v>
      </c>
      <c r="C4" s="119" t="s">
        <v>930</v>
      </c>
      <c r="D4" s="199" t="s">
        <v>931</v>
      </c>
      <c r="E4" s="119" t="s">
        <v>932</v>
      </c>
      <c r="F4" s="199" t="s">
        <v>933</v>
      </c>
      <c r="G4" s="120" t="s">
        <v>934</v>
      </c>
    </row>
    <row r="5" spans="1:9" ht="19.5" customHeight="1">
      <c r="A5" s="515">
        <v>1</v>
      </c>
      <c r="B5" s="339" t="s">
        <v>1737</v>
      </c>
      <c r="C5" s="39">
        <v>39</v>
      </c>
      <c r="D5" s="77">
        <v>8</v>
      </c>
      <c r="E5" s="39">
        <v>7</v>
      </c>
      <c r="F5" s="77">
        <v>24</v>
      </c>
      <c r="G5" s="296">
        <v>4</v>
      </c>
      <c r="I5" s="1"/>
    </row>
    <row r="6" spans="1:9" ht="19.5" customHeight="1">
      <c r="A6" s="515">
        <f t="shared" ref="A6:A33" si="0">A5+1</f>
        <v>2</v>
      </c>
      <c r="B6" s="339" t="s">
        <v>1214</v>
      </c>
      <c r="C6" s="39">
        <v>87</v>
      </c>
      <c r="D6" s="77">
        <v>45</v>
      </c>
      <c r="E6" s="39">
        <v>27</v>
      </c>
      <c r="F6" s="77">
        <v>47</v>
      </c>
      <c r="G6" s="77">
        <v>11</v>
      </c>
    </row>
    <row r="7" spans="1:9" ht="19.5" customHeight="1">
      <c r="A7" s="515">
        <f t="shared" si="0"/>
        <v>3</v>
      </c>
      <c r="B7" s="339" t="s">
        <v>1211</v>
      </c>
      <c r="C7" s="39">
        <v>61</v>
      </c>
      <c r="D7" s="77">
        <v>21</v>
      </c>
      <c r="E7" s="39">
        <v>37</v>
      </c>
      <c r="F7" s="77">
        <v>44</v>
      </c>
      <c r="G7" s="77">
        <v>11</v>
      </c>
    </row>
    <row r="8" spans="1:9" ht="19.5" customHeight="1">
      <c r="A8" s="515">
        <f t="shared" si="0"/>
        <v>4</v>
      </c>
      <c r="B8" s="339" t="s">
        <v>1212</v>
      </c>
      <c r="C8" s="39">
        <v>16</v>
      </c>
      <c r="D8" s="702">
        <v>10</v>
      </c>
      <c r="E8" s="756">
        <v>8</v>
      </c>
      <c r="F8" s="77">
        <v>26</v>
      </c>
      <c r="G8" s="77">
        <v>6</v>
      </c>
    </row>
    <row r="9" spans="1:9" ht="19.5" customHeight="1">
      <c r="A9" s="515">
        <f t="shared" si="0"/>
        <v>5</v>
      </c>
      <c r="B9" s="339" t="s">
        <v>1213</v>
      </c>
      <c r="C9" s="39">
        <v>64</v>
      </c>
      <c r="D9" s="77">
        <v>29</v>
      </c>
      <c r="E9" s="39">
        <v>24</v>
      </c>
      <c r="F9" s="77">
        <v>44</v>
      </c>
      <c r="G9" s="77">
        <v>11</v>
      </c>
    </row>
    <row r="10" spans="1:9" ht="19.5" customHeight="1">
      <c r="A10" s="515">
        <f t="shared" si="0"/>
        <v>6</v>
      </c>
      <c r="B10" s="339" t="s">
        <v>1218</v>
      </c>
      <c r="C10" s="39">
        <v>73</v>
      </c>
      <c r="D10" s="77">
        <v>42</v>
      </c>
      <c r="E10" s="39">
        <v>8</v>
      </c>
      <c r="F10" s="77">
        <v>87</v>
      </c>
      <c r="G10" s="77">
        <v>11</v>
      </c>
    </row>
    <row r="11" spans="1:9" ht="19.5" customHeight="1">
      <c r="A11" s="515">
        <f t="shared" si="0"/>
        <v>7</v>
      </c>
      <c r="B11" s="339" t="s">
        <v>759</v>
      </c>
      <c r="C11" s="39">
        <v>72</v>
      </c>
      <c r="D11" s="77">
        <v>91</v>
      </c>
      <c r="E11" s="39">
        <v>22</v>
      </c>
      <c r="F11" s="392">
        <v>50</v>
      </c>
      <c r="G11" s="77">
        <v>12</v>
      </c>
    </row>
    <row r="12" spans="1:9" ht="19.5" customHeight="1">
      <c r="A12" s="515">
        <f t="shared" si="0"/>
        <v>8</v>
      </c>
      <c r="B12" s="339" t="s">
        <v>760</v>
      </c>
      <c r="C12" s="39">
        <v>45</v>
      </c>
      <c r="D12" s="77">
        <v>57</v>
      </c>
      <c r="E12" s="39">
        <v>9</v>
      </c>
      <c r="F12" s="77">
        <v>54</v>
      </c>
      <c r="G12" s="77">
        <v>8</v>
      </c>
    </row>
    <row r="13" spans="1:9" ht="19.5" customHeight="1">
      <c r="A13" s="515">
        <f t="shared" si="0"/>
        <v>9</v>
      </c>
      <c r="B13" s="339" t="s">
        <v>1194</v>
      </c>
      <c r="C13" s="39">
        <v>44</v>
      </c>
      <c r="D13" s="77">
        <v>91</v>
      </c>
      <c r="E13" s="756">
        <v>4</v>
      </c>
      <c r="F13" s="77">
        <v>38</v>
      </c>
      <c r="G13" s="77">
        <v>9</v>
      </c>
    </row>
    <row r="14" spans="1:9" ht="19.5" customHeight="1">
      <c r="A14" s="515">
        <f t="shared" si="0"/>
        <v>10</v>
      </c>
      <c r="B14" s="339" t="s">
        <v>1221</v>
      </c>
      <c r="C14" s="39">
        <v>138</v>
      </c>
      <c r="D14" s="77">
        <v>120</v>
      </c>
      <c r="E14" s="39">
        <v>15</v>
      </c>
      <c r="F14" s="77">
        <v>68</v>
      </c>
      <c r="G14" s="77">
        <v>19</v>
      </c>
    </row>
    <row r="15" spans="1:9" ht="19.5" customHeight="1">
      <c r="A15" s="515">
        <f t="shared" si="0"/>
        <v>11</v>
      </c>
      <c r="B15" s="339" t="s">
        <v>761</v>
      </c>
      <c r="C15" s="39">
        <v>83</v>
      </c>
      <c r="D15" s="77">
        <v>72</v>
      </c>
      <c r="E15" s="39">
        <v>10</v>
      </c>
      <c r="F15" s="77">
        <v>41</v>
      </c>
      <c r="G15" s="77">
        <v>9</v>
      </c>
    </row>
    <row r="16" spans="1:9" ht="19.5" customHeight="1">
      <c r="A16" s="515">
        <f t="shared" si="0"/>
        <v>12</v>
      </c>
      <c r="B16" s="339" t="s">
        <v>762</v>
      </c>
      <c r="C16" s="39">
        <v>60</v>
      </c>
      <c r="D16" s="77">
        <v>133</v>
      </c>
      <c r="E16" s="39">
        <v>27</v>
      </c>
      <c r="F16" s="77">
        <v>60</v>
      </c>
      <c r="G16" s="77">
        <v>10</v>
      </c>
    </row>
    <row r="17" spans="1:7" ht="19.5" customHeight="1">
      <c r="A17" s="515">
        <f t="shared" si="0"/>
        <v>13</v>
      </c>
      <c r="B17" s="339" t="s">
        <v>1223</v>
      </c>
      <c r="C17" s="39">
        <v>61</v>
      </c>
      <c r="D17" s="77">
        <v>70</v>
      </c>
      <c r="E17" s="39">
        <v>11</v>
      </c>
      <c r="F17" s="77">
        <v>54</v>
      </c>
      <c r="G17" s="77">
        <v>10</v>
      </c>
    </row>
    <row r="18" spans="1:7" ht="19.5" customHeight="1">
      <c r="A18" s="515">
        <f t="shared" si="0"/>
        <v>14</v>
      </c>
      <c r="B18" s="339" t="s">
        <v>1224</v>
      </c>
      <c r="C18" s="39">
        <v>62</v>
      </c>
      <c r="D18" s="77">
        <v>70</v>
      </c>
      <c r="E18" s="39">
        <v>10</v>
      </c>
      <c r="F18" s="77">
        <v>42</v>
      </c>
      <c r="G18" s="77">
        <v>9</v>
      </c>
    </row>
    <row r="19" spans="1:7" ht="19.5" customHeight="1">
      <c r="A19" s="515">
        <f t="shared" si="0"/>
        <v>15</v>
      </c>
      <c r="B19" s="339" t="s">
        <v>1197</v>
      </c>
      <c r="C19" s="39">
        <v>65</v>
      </c>
      <c r="D19" s="77">
        <v>97</v>
      </c>
      <c r="E19" s="39">
        <v>14</v>
      </c>
      <c r="F19" s="77">
        <v>63</v>
      </c>
      <c r="G19" s="77">
        <v>5</v>
      </c>
    </row>
    <row r="20" spans="1:7" ht="19.5" customHeight="1">
      <c r="A20" s="515">
        <f t="shared" si="0"/>
        <v>16</v>
      </c>
      <c r="B20" s="339" t="s">
        <v>1198</v>
      </c>
      <c r="C20" s="39">
        <v>50</v>
      </c>
      <c r="D20" s="77">
        <v>120</v>
      </c>
      <c r="E20" s="39">
        <v>28</v>
      </c>
      <c r="F20" s="77">
        <v>50</v>
      </c>
      <c r="G20" s="77">
        <v>14</v>
      </c>
    </row>
    <row r="21" spans="1:7" ht="19.5" customHeight="1">
      <c r="A21" s="515">
        <f t="shared" si="0"/>
        <v>17</v>
      </c>
      <c r="B21" s="339" t="s">
        <v>1225</v>
      </c>
      <c r="C21" s="39">
        <v>86</v>
      </c>
      <c r="D21" s="77">
        <v>38</v>
      </c>
      <c r="E21" s="39">
        <v>16</v>
      </c>
      <c r="F21" s="77">
        <v>50</v>
      </c>
      <c r="G21" s="77">
        <v>11</v>
      </c>
    </row>
    <row r="22" spans="1:7" ht="19.5" customHeight="1">
      <c r="A22" s="515">
        <f t="shared" si="0"/>
        <v>18</v>
      </c>
      <c r="B22" s="339" t="s">
        <v>1226</v>
      </c>
      <c r="C22" s="39">
        <v>84</v>
      </c>
      <c r="D22" s="77">
        <v>90</v>
      </c>
      <c r="E22" s="39">
        <v>22</v>
      </c>
      <c r="F22" s="77">
        <v>65</v>
      </c>
      <c r="G22" s="77">
        <v>14</v>
      </c>
    </row>
    <row r="23" spans="1:7" ht="19.5" customHeight="1">
      <c r="A23" s="515">
        <f t="shared" si="0"/>
        <v>19</v>
      </c>
      <c r="B23" s="339" t="s">
        <v>837</v>
      </c>
      <c r="C23" s="39">
        <v>112</v>
      </c>
      <c r="D23" s="77">
        <v>26</v>
      </c>
      <c r="E23" s="39">
        <v>3</v>
      </c>
      <c r="F23" s="77">
        <v>44</v>
      </c>
      <c r="G23" s="77">
        <v>10</v>
      </c>
    </row>
    <row r="24" spans="1:7" ht="19.5" customHeight="1">
      <c r="A24" s="515">
        <f t="shared" si="0"/>
        <v>20</v>
      </c>
      <c r="B24" s="339" t="s">
        <v>1203</v>
      </c>
      <c r="C24" s="39">
        <v>182</v>
      </c>
      <c r="D24" s="77">
        <v>79</v>
      </c>
      <c r="E24" s="39">
        <v>22</v>
      </c>
      <c r="F24" s="77">
        <v>56</v>
      </c>
      <c r="G24" s="77">
        <v>14</v>
      </c>
    </row>
    <row r="25" spans="1:7" ht="19.5" customHeight="1">
      <c r="A25" s="515">
        <f t="shared" si="0"/>
        <v>21</v>
      </c>
      <c r="B25" s="339" t="s">
        <v>1204</v>
      </c>
      <c r="C25" s="39">
        <v>133</v>
      </c>
      <c r="D25" s="77">
        <v>54</v>
      </c>
      <c r="E25" s="39">
        <v>29</v>
      </c>
      <c r="F25" s="77">
        <v>43</v>
      </c>
      <c r="G25" s="77">
        <v>13</v>
      </c>
    </row>
    <row r="26" spans="1:7" ht="19.5" customHeight="1">
      <c r="A26" s="515">
        <f t="shared" si="0"/>
        <v>22</v>
      </c>
      <c r="B26" s="339" t="s">
        <v>1744</v>
      </c>
      <c r="C26" s="39">
        <v>71</v>
      </c>
      <c r="D26" s="77">
        <v>52</v>
      </c>
      <c r="E26" s="39">
        <v>12</v>
      </c>
      <c r="F26" s="77">
        <v>37</v>
      </c>
      <c r="G26" s="77">
        <v>8</v>
      </c>
    </row>
    <row r="27" spans="1:7" ht="19.5" customHeight="1">
      <c r="A27" s="515">
        <f t="shared" si="0"/>
        <v>23</v>
      </c>
      <c r="B27" s="339" t="s">
        <v>1745</v>
      </c>
      <c r="C27" s="39">
        <v>92</v>
      </c>
      <c r="D27" s="77">
        <v>73</v>
      </c>
      <c r="E27" s="39">
        <v>5</v>
      </c>
      <c r="F27" s="77">
        <v>39</v>
      </c>
      <c r="G27" s="77">
        <v>8</v>
      </c>
    </row>
    <row r="28" spans="1:7" ht="19.5" customHeight="1">
      <c r="A28" s="515">
        <f t="shared" si="0"/>
        <v>24</v>
      </c>
      <c r="B28" s="339" t="s">
        <v>1227</v>
      </c>
      <c r="C28" s="39">
        <v>99</v>
      </c>
      <c r="D28" s="77">
        <v>78</v>
      </c>
      <c r="E28" s="39">
        <v>15</v>
      </c>
      <c r="F28" s="77">
        <v>57</v>
      </c>
      <c r="G28" s="77">
        <v>9</v>
      </c>
    </row>
    <row r="29" spans="1:7" ht="19.5" customHeight="1">
      <c r="A29" s="515">
        <f t="shared" si="0"/>
        <v>25</v>
      </c>
      <c r="B29" s="339" t="s">
        <v>1228</v>
      </c>
      <c r="C29" s="39">
        <v>27</v>
      </c>
      <c r="D29" s="77">
        <v>105</v>
      </c>
      <c r="E29" s="39">
        <v>11</v>
      </c>
      <c r="F29" s="77">
        <v>44</v>
      </c>
      <c r="G29" s="77">
        <v>11</v>
      </c>
    </row>
    <row r="30" spans="1:7" ht="19.5" customHeight="1">
      <c r="A30" s="515">
        <f t="shared" si="0"/>
        <v>26</v>
      </c>
      <c r="B30" s="339" t="s">
        <v>1205</v>
      </c>
      <c r="C30" s="39">
        <v>39</v>
      </c>
      <c r="D30" s="77">
        <v>139</v>
      </c>
      <c r="E30" s="39">
        <v>16</v>
      </c>
      <c r="F30" s="77">
        <v>42</v>
      </c>
      <c r="G30" s="77">
        <v>11</v>
      </c>
    </row>
    <row r="31" spans="1:7" ht="19.5" customHeight="1">
      <c r="A31" s="515">
        <f t="shared" si="0"/>
        <v>27</v>
      </c>
      <c r="B31" s="339" t="s">
        <v>1206</v>
      </c>
      <c r="C31" s="39">
        <v>39</v>
      </c>
      <c r="D31" s="77">
        <v>95</v>
      </c>
      <c r="E31" s="39">
        <v>15</v>
      </c>
      <c r="F31" s="77">
        <v>26</v>
      </c>
      <c r="G31" s="77">
        <v>7</v>
      </c>
    </row>
    <row r="32" spans="1:7" ht="19.5" customHeight="1">
      <c r="A32" s="515">
        <f t="shared" si="0"/>
        <v>28</v>
      </c>
      <c r="B32" s="339" t="s">
        <v>1207</v>
      </c>
      <c r="C32" s="39">
        <v>43</v>
      </c>
      <c r="D32" s="77">
        <v>170</v>
      </c>
      <c r="E32" s="370">
        <v>23</v>
      </c>
      <c r="F32" s="77">
        <v>33</v>
      </c>
      <c r="G32" s="77">
        <v>9</v>
      </c>
    </row>
    <row r="33" spans="1:9" ht="19.5" customHeight="1">
      <c r="A33" s="517">
        <f t="shared" si="0"/>
        <v>29</v>
      </c>
      <c r="B33" s="243" t="s">
        <v>1208</v>
      </c>
      <c r="C33" s="25">
        <v>87</v>
      </c>
      <c r="D33" s="78">
        <v>156</v>
      </c>
      <c r="E33" s="25">
        <v>15</v>
      </c>
      <c r="F33" s="78">
        <v>60</v>
      </c>
      <c r="G33" s="78">
        <v>15</v>
      </c>
    </row>
    <row r="34" spans="1:9" ht="15.95" customHeight="1">
      <c r="C34" s="1008" t="s">
        <v>1446</v>
      </c>
      <c r="D34" s="2258" t="s">
        <v>1030</v>
      </c>
      <c r="E34" s="2258"/>
      <c r="F34" s="2258"/>
      <c r="G34" s="98"/>
    </row>
    <row r="35" spans="1:9" ht="15.95" customHeight="1">
      <c r="C35" s="1009" t="s">
        <v>1545</v>
      </c>
      <c r="D35" s="1009" t="s">
        <v>1031</v>
      </c>
      <c r="E35" s="1009"/>
      <c r="F35" s="1009"/>
      <c r="G35" s="98"/>
    </row>
    <row r="36" spans="1:9" ht="15.95" customHeight="1">
      <c r="C36" s="1009"/>
      <c r="D36" s="1009" t="s">
        <v>688</v>
      </c>
      <c r="E36" s="1009"/>
      <c r="F36" s="1009"/>
      <c r="G36" s="98"/>
    </row>
    <row r="37" spans="1:9" ht="15.95" customHeight="1">
      <c r="C37" s="1009"/>
      <c r="D37" s="1009"/>
      <c r="E37" s="1009"/>
      <c r="F37" s="1009"/>
      <c r="G37" s="98"/>
    </row>
    <row r="38" spans="1:9">
      <c r="C38" s="1009"/>
      <c r="D38" s="1009"/>
      <c r="E38" s="1009"/>
      <c r="F38" s="1009"/>
    </row>
    <row r="41" spans="1:9" ht="15.75">
      <c r="D41" s="325"/>
      <c r="E41" s="325"/>
      <c r="F41" s="325"/>
      <c r="G41" s="325"/>
      <c r="H41" s="325"/>
      <c r="I41" s="325"/>
    </row>
    <row r="43" spans="1:9">
      <c r="A43" s="1"/>
      <c r="B43" s="1"/>
      <c r="C43" s="1"/>
      <c r="D43" s="1"/>
      <c r="E43" s="1"/>
      <c r="F43" s="1"/>
      <c r="G43" s="1"/>
    </row>
  </sheetData>
  <mergeCells count="3">
    <mergeCell ref="D34:F34"/>
    <mergeCell ref="A2:G2"/>
    <mergeCell ref="A1:G1"/>
  </mergeCells>
  <phoneticPr fontId="0" type="noConversion"/>
  <printOptions horizontalCentered="1"/>
  <pageMargins left="0.1" right="0.1" top="0.82" bottom="0.1" header="0.56000000000000005" footer="0.1"/>
  <pageSetup paperSize="9" orientation="portrait" blackAndWhite="1" horizontalDpi="4294967295" verticalDpi="300" r:id="rId1"/>
  <headerFooter alignWithMargins="0"/>
</worksheet>
</file>

<file path=xl/worksheets/sheet77.xml><?xml version="1.0" encoding="utf-8"?>
<worksheet xmlns="http://schemas.openxmlformats.org/spreadsheetml/2006/main" xmlns:r="http://schemas.openxmlformats.org/officeDocument/2006/relationships">
  <dimension ref="A1:S55"/>
  <sheetViews>
    <sheetView topLeftCell="A4" workbookViewId="0">
      <selection activeCell="O25" sqref="O25"/>
    </sheetView>
  </sheetViews>
  <sheetFormatPr defaultRowHeight="12.75"/>
  <cols>
    <col min="1" max="1" width="3.28515625" customWidth="1"/>
    <col min="2" max="2" width="12.28515625" customWidth="1"/>
    <col min="3" max="3" width="6.42578125" customWidth="1"/>
    <col min="4" max="4" width="8.140625" customWidth="1"/>
    <col min="5" max="5" width="7.5703125" customWidth="1"/>
    <col min="6" max="6" width="8.140625" customWidth="1"/>
    <col min="7" max="7" width="7" customWidth="1"/>
    <col min="8" max="8" width="6.42578125" customWidth="1"/>
    <col min="9" max="9" width="7" customWidth="1"/>
    <col min="10" max="10" width="6.28515625" customWidth="1"/>
    <col min="11" max="11" width="7" customWidth="1"/>
    <col min="12" max="12" width="5.85546875" customWidth="1"/>
    <col min="13" max="13" width="7" customWidth="1"/>
    <col min="14" max="14" width="5.85546875" customWidth="1"/>
    <col min="15" max="15" width="7" customWidth="1"/>
    <col min="16" max="16" width="5.85546875" customWidth="1"/>
    <col min="17" max="17" width="7" customWidth="1"/>
    <col min="18" max="18" width="8.28515625" customWidth="1"/>
    <col min="19" max="19" width="7.85546875" customWidth="1"/>
  </cols>
  <sheetData>
    <row r="1" spans="1:19">
      <c r="A1" s="1708" t="s">
        <v>821</v>
      </c>
      <c r="B1" s="1708"/>
      <c r="C1" s="1708"/>
      <c r="D1" s="1708"/>
      <c r="E1" s="1708"/>
      <c r="F1" s="1708"/>
      <c r="G1" s="1708"/>
      <c r="H1" s="1708"/>
      <c r="I1" s="1708"/>
      <c r="J1" s="1708"/>
      <c r="K1" s="1708"/>
      <c r="L1" s="1708"/>
      <c r="M1" s="1708"/>
      <c r="N1" s="1708"/>
      <c r="O1" s="1708"/>
      <c r="P1" s="1708"/>
      <c r="Q1" s="1708"/>
      <c r="R1" s="1708"/>
      <c r="S1" s="1708"/>
    </row>
    <row r="2" spans="1:19" ht="16.5">
      <c r="A2" s="1720" t="s">
        <v>1020</v>
      </c>
      <c r="B2" s="1720"/>
      <c r="C2" s="1720"/>
      <c r="D2" s="1720"/>
      <c r="E2" s="1720"/>
      <c r="F2" s="1720"/>
      <c r="G2" s="1720"/>
      <c r="H2" s="1720"/>
      <c r="I2" s="1720"/>
      <c r="J2" s="1720"/>
      <c r="K2" s="1720"/>
      <c r="L2" s="1720"/>
      <c r="M2" s="1720"/>
      <c r="N2" s="1720"/>
      <c r="O2" s="1720"/>
      <c r="P2" s="1720"/>
      <c r="Q2" s="1720"/>
      <c r="R2" s="1720"/>
      <c r="S2" s="1720"/>
    </row>
    <row r="3" spans="1:19">
      <c r="A3" s="2263" t="s">
        <v>319</v>
      </c>
      <c r="B3" s="2265" t="s">
        <v>477</v>
      </c>
      <c r="C3" s="2267" t="s">
        <v>318</v>
      </c>
      <c r="D3" s="2268" t="s">
        <v>1706</v>
      </c>
      <c r="E3" s="2268"/>
      <c r="F3" s="2268" t="s">
        <v>1707</v>
      </c>
      <c r="G3" s="2268"/>
      <c r="H3" s="2268" t="s">
        <v>1708</v>
      </c>
      <c r="I3" s="2268"/>
      <c r="J3" s="2268" t="s">
        <v>1709</v>
      </c>
      <c r="K3" s="2268"/>
      <c r="L3" s="2268" t="s">
        <v>1710</v>
      </c>
      <c r="M3" s="2268"/>
      <c r="N3" s="2268" t="s">
        <v>1711</v>
      </c>
      <c r="O3" s="2268"/>
      <c r="P3" s="2269" t="s">
        <v>1111</v>
      </c>
      <c r="Q3" s="2260"/>
      <c r="R3" s="2259" t="s">
        <v>958</v>
      </c>
      <c r="S3" s="2260"/>
    </row>
    <row r="4" spans="1:19" ht="78" customHeight="1">
      <c r="A4" s="2264"/>
      <c r="B4" s="2266"/>
      <c r="C4" s="1836"/>
      <c r="D4" s="989" t="s">
        <v>847</v>
      </c>
      <c r="E4" s="135" t="s">
        <v>320</v>
      </c>
      <c r="F4" s="989" t="s">
        <v>847</v>
      </c>
      <c r="G4" s="135" t="s">
        <v>848</v>
      </c>
      <c r="H4" s="989" t="s">
        <v>488</v>
      </c>
      <c r="I4" s="135" t="s">
        <v>320</v>
      </c>
      <c r="J4" s="989" t="s">
        <v>488</v>
      </c>
      <c r="K4" s="135" t="s">
        <v>320</v>
      </c>
      <c r="L4" s="989" t="s">
        <v>488</v>
      </c>
      <c r="M4" s="135" t="s">
        <v>320</v>
      </c>
      <c r="N4" s="989" t="s">
        <v>488</v>
      </c>
      <c r="O4" s="135" t="s">
        <v>320</v>
      </c>
      <c r="P4" s="989" t="s">
        <v>488</v>
      </c>
      <c r="Q4" s="135" t="s">
        <v>320</v>
      </c>
      <c r="R4" s="989" t="s">
        <v>847</v>
      </c>
      <c r="S4" s="135" t="s">
        <v>320</v>
      </c>
    </row>
    <row r="5" spans="1:19">
      <c r="A5" s="621" t="s">
        <v>928</v>
      </c>
      <c r="B5" s="623" t="s">
        <v>929</v>
      </c>
      <c r="C5" s="642" t="s">
        <v>930</v>
      </c>
      <c r="D5" s="643" t="s">
        <v>931</v>
      </c>
      <c r="E5" s="644" t="s">
        <v>932</v>
      </c>
      <c r="F5" s="622" t="s">
        <v>933</v>
      </c>
      <c r="G5" s="621" t="s">
        <v>934</v>
      </c>
      <c r="H5" s="622" t="s">
        <v>959</v>
      </c>
      <c r="I5" s="621" t="s">
        <v>960</v>
      </c>
      <c r="J5" s="622" t="s">
        <v>961</v>
      </c>
      <c r="K5" s="621" t="s">
        <v>962</v>
      </c>
      <c r="L5" s="622" t="s">
        <v>1037</v>
      </c>
      <c r="M5" s="621" t="s">
        <v>1038</v>
      </c>
      <c r="N5" s="622" t="s">
        <v>1039</v>
      </c>
      <c r="O5" s="621" t="s">
        <v>1040</v>
      </c>
      <c r="P5" s="622" t="s">
        <v>1041</v>
      </c>
      <c r="Q5" s="621" t="s">
        <v>1042</v>
      </c>
      <c r="R5" s="622" t="s">
        <v>1044</v>
      </c>
      <c r="S5" s="621" t="s">
        <v>1043</v>
      </c>
    </row>
    <row r="6" spans="1:19" ht="17.25" customHeight="1">
      <c r="A6" s="2045">
        <v>1</v>
      </c>
      <c r="B6" s="2261" t="s">
        <v>1546</v>
      </c>
      <c r="C6" s="1241">
        <v>2001</v>
      </c>
      <c r="D6" s="1239">
        <v>134367</v>
      </c>
      <c r="E6" s="1244">
        <f t="shared" ref="E6:E27" si="0">IF(D6="-","-",ROUND(D6/$R6*100,2))</f>
        <v>80.260000000000005</v>
      </c>
      <c r="F6" s="1239">
        <v>29622</v>
      </c>
      <c r="G6" s="1244">
        <f>IF(F6="-","-",ROUND(F6/$R6*100,2))+0.01</f>
        <v>17.700000000000003</v>
      </c>
      <c r="H6" s="1239">
        <v>3031</v>
      </c>
      <c r="I6" s="1244">
        <f t="shared" ref="I6:I15" si="1">IF(H6="-","-",ROUND(H6/$R6*100,2))</f>
        <v>1.81</v>
      </c>
      <c r="J6" s="1245">
        <v>37</v>
      </c>
      <c r="K6" s="1244">
        <f>IF(J6="-","-",IF(ROUND(J6/$R6*100,2)=0,"-",ROUND(J6/$R6*100,2)))</f>
        <v>0.02</v>
      </c>
      <c r="L6" s="1246">
        <v>21</v>
      </c>
      <c r="M6" s="1244">
        <f t="shared" ref="M6:M27" si="2">IF(L6="-","-",IF(ROUND(L6/$R6*100,2)=0,"-",ROUND(L6/$R6*100,2)))</f>
        <v>0.01</v>
      </c>
      <c r="N6" s="1246" t="s">
        <v>1229</v>
      </c>
      <c r="O6" s="1244" t="str">
        <f t="shared" ref="O6:O27" si="3">IF(N6="-","-",IF(ROUND(N6/$R6*100,2)=0,"-",ROUND(N6/$R6*100,2)))</f>
        <v>-</v>
      </c>
      <c r="P6" s="1246">
        <v>330</v>
      </c>
      <c r="Q6" s="1244">
        <f t="shared" ref="Q6:Q27" si="4">IF(P6="-","-",IF(ROUND(P6/$R6*100,2)=0,"-",ROUND(P6/$R6*100,2)))</f>
        <v>0.2</v>
      </c>
      <c r="R6" s="1239">
        <f t="shared" ref="R6:R27" si="5">SUM(D6,F6,H6,J6,L6,N6,P6)</f>
        <v>167408</v>
      </c>
      <c r="S6" s="906">
        <f t="shared" ref="S6:S27" si="6">SUM(E6,G6,I6,K6,M6,O6,Q6)</f>
        <v>100.00000000000001</v>
      </c>
    </row>
    <row r="7" spans="1:19" ht="17.25" customHeight="1">
      <c r="A7" s="2046"/>
      <c r="B7" s="2262"/>
      <c r="C7" s="892">
        <v>1991</v>
      </c>
      <c r="D7" s="379">
        <v>243980</v>
      </c>
      <c r="E7" s="1247">
        <f t="shared" si="0"/>
        <v>85.21</v>
      </c>
      <c r="F7" s="379">
        <v>39208</v>
      </c>
      <c r="G7" s="1247">
        <f>IF(F7="-","-",ROUND(F7/$R7*100,2))</f>
        <v>13.69</v>
      </c>
      <c r="H7" s="379">
        <v>2984</v>
      </c>
      <c r="I7" s="1247">
        <f t="shared" si="1"/>
        <v>1.04</v>
      </c>
      <c r="J7" s="380">
        <v>136</v>
      </c>
      <c r="K7" s="1247">
        <f t="shared" ref="K7:K27" si="7">IF(J7="-","-",IF(ROUND(J7/$R7*100,2)=0,"-",ROUND(J7/$R7*100,2)))</f>
        <v>0.05</v>
      </c>
      <c r="L7" s="380">
        <v>29</v>
      </c>
      <c r="M7" s="1247">
        <f t="shared" si="2"/>
        <v>0.01</v>
      </c>
      <c r="N7" s="380">
        <v>3</v>
      </c>
      <c r="O7" s="1247" t="str">
        <f t="shared" si="3"/>
        <v>-</v>
      </c>
      <c r="P7" s="380">
        <v>2</v>
      </c>
      <c r="Q7" s="1247" t="str">
        <f t="shared" si="4"/>
        <v>-</v>
      </c>
      <c r="R7" s="379">
        <f t="shared" si="5"/>
        <v>286342</v>
      </c>
      <c r="S7" s="381">
        <f t="shared" si="6"/>
        <v>100</v>
      </c>
    </row>
    <row r="8" spans="1:19" ht="17.25" customHeight="1">
      <c r="A8" s="2045">
        <v>2</v>
      </c>
      <c r="B8" s="2270" t="s">
        <v>849</v>
      </c>
      <c r="C8" s="1241">
        <v>2001</v>
      </c>
      <c r="D8" s="1239">
        <v>90478</v>
      </c>
      <c r="E8" s="1244">
        <f t="shared" si="0"/>
        <v>66.09</v>
      </c>
      <c r="F8" s="1239">
        <v>38957</v>
      </c>
      <c r="G8" s="1244">
        <f>IF(F8="-","-",ROUND(F8/$R8*100,2))-0.01</f>
        <v>28.45</v>
      </c>
      <c r="H8" s="1239">
        <v>7190</v>
      </c>
      <c r="I8" s="1244">
        <f t="shared" si="1"/>
        <v>5.25</v>
      </c>
      <c r="J8" s="1246">
        <v>95</v>
      </c>
      <c r="K8" s="1244">
        <f t="shared" si="7"/>
        <v>7.0000000000000007E-2</v>
      </c>
      <c r="L8" s="1246">
        <v>92</v>
      </c>
      <c r="M8" s="1244">
        <f t="shared" si="2"/>
        <v>7.0000000000000007E-2</v>
      </c>
      <c r="N8" s="1246">
        <v>24</v>
      </c>
      <c r="O8" s="1248">
        <f t="shared" si="3"/>
        <v>0.02</v>
      </c>
      <c r="P8" s="1246">
        <v>67</v>
      </c>
      <c r="Q8" s="1244">
        <f t="shared" si="4"/>
        <v>0.05</v>
      </c>
      <c r="R8" s="1239">
        <f t="shared" si="5"/>
        <v>136903</v>
      </c>
      <c r="S8" s="906">
        <f t="shared" si="6"/>
        <v>99.999999999999986</v>
      </c>
    </row>
    <row r="9" spans="1:19" ht="17.25" customHeight="1">
      <c r="A9" s="2046"/>
      <c r="B9" s="2262"/>
      <c r="C9" s="457">
        <v>1991</v>
      </c>
      <c r="D9" s="379">
        <v>147758</v>
      </c>
      <c r="E9" s="1247">
        <f t="shared" si="0"/>
        <v>69.91</v>
      </c>
      <c r="F9" s="379">
        <v>61815</v>
      </c>
      <c r="G9" s="1247">
        <f>IF(F9="-","-",ROUND(F9/$R9*100,2))</f>
        <v>29.25</v>
      </c>
      <c r="H9" s="379">
        <v>632</v>
      </c>
      <c r="I9" s="1247">
        <f t="shared" si="1"/>
        <v>0.3</v>
      </c>
      <c r="J9" s="380">
        <v>86</v>
      </c>
      <c r="K9" s="1247">
        <f t="shared" si="7"/>
        <v>0.04</v>
      </c>
      <c r="L9" s="380">
        <v>858</v>
      </c>
      <c r="M9" s="1247">
        <f>IF(L9="-","-",IF(ROUND(L9/$R9*100,2)=0,"-",ROUND(L9/$R9*100,2)))-0.01</f>
        <v>0.39999999999999997</v>
      </c>
      <c r="N9" s="380">
        <v>58</v>
      </c>
      <c r="O9" s="1247">
        <f t="shared" si="3"/>
        <v>0.03</v>
      </c>
      <c r="P9" s="380">
        <v>145</v>
      </c>
      <c r="Q9" s="1247">
        <f t="shared" si="4"/>
        <v>7.0000000000000007E-2</v>
      </c>
      <c r="R9" s="379">
        <f t="shared" si="5"/>
        <v>211352</v>
      </c>
      <c r="S9" s="381">
        <f>SUM(E9,G9,I9,K9,M9,O9,Q9)</f>
        <v>100</v>
      </c>
    </row>
    <row r="10" spans="1:19" ht="17.25" customHeight="1">
      <c r="A10" s="2045">
        <v>3</v>
      </c>
      <c r="B10" s="2270" t="s">
        <v>201</v>
      </c>
      <c r="C10" s="1241">
        <v>2001</v>
      </c>
      <c r="D10" s="1239">
        <v>231333</v>
      </c>
      <c r="E10" s="1244">
        <f t="shared" si="0"/>
        <v>52.5</v>
      </c>
      <c r="F10" s="1239">
        <v>207787</v>
      </c>
      <c r="G10" s="1244">
        <f>IF(F10="-","-",ROUND(F10/$R10*100,2))</f>
        <v>47.16</v>
      </c>
      <c r="H10" s="1239">
        <v>1300</v>
      </c>
      <c r="I10" s="1244">
        <f t="shared" si="1"/>
        <v>0.3</v>
      </c>
      <c r="J10" s="1246">
        <v>11</v>
      </c>
      <c r="K10" s="1244" t="str">
        <f t="shared" si="7"/>
        <v>-</v>
      </c>
      <c r="L10" s="1246">
        <v>26</v>
      </c>
      <c r="M10" s="1244">
        <f t="shared" si="2"/>
        <v>0.01</v>
      </c>
      <c r="N10" s="1246">
        <v>30</v>
      </c>
      <c r="O10" s="1244">
        <f t="shared" si="3"/>
        <v>0.01</v>
      </c>
      <c r="P10" s="1246">
        <v>107</v>
      </c>
      <c r="Q10" s="1244">
        <f t="shared" si="4"/>
        <v>0.02</v>
      </c>
      <c r="R10" s="1239">
        <f t="shared" si="5"/>
        <v>440594</v>
      </c>
      <c r="S10" s="906">
        <f t="shared" si="6"/>
        <v>100</v>
      </c>
    </row>
    <row r="11" spans="1:19" ht="17.25" customHeight="1">
      <c r="A11" s="2046"/>
      <c r="B11" s="2262"/>
      <c r="C11" s="457">
        <v>1991</v>
      </c>
      <c r="D11" s="379">
        <v>193561</v>
      </c>
      <c r="E11" s="1247">
        <f t="shared" si="0"/>
        <v>55.63</v>
      </c>
      <c r="F11" s="379">
        <v>152952</v>
      </c>
      <c r="G11" s="1247">
        <f>IF(F11="-","-",ROUND(F11/$R11*100,2))</f>
        <v>43.96</v>
      </c>
      <c r="H11" s="379">
        <v>1383</v>
      </c>
      <c r="I11" s="1247">
        <f t="shared" si="1"/>
        <v>0.4</v>
      </c>
      <c r="J11" s="380">
        <v>2</v>
      </c>
      <c r="K11" s="1247" t="str">
        <f t="shared" si="7"/>
        <v>-</v>
      </c>
      <c r="L11" s="380">
        <v>27</v>
      </c>
      <c r="M11" s="1247">
        <f t="shared" si="2"/>
        <v>0.01</v>
      </c>
      <c r="N11" s="380" t="s">
        <v>1229</v>
      </c>
      <c r="O11" s="1247" t="str">
        <f t="shared" si="3"/>
        <v>-</v>
      </c>
      <c r="P11" s="380">
        <v>5</v>
      </c>
      <c r="Q11" s="1247" t="str">
        <f t="shared" si="4"/>
        <v>-</v>
      </c>
      <c r="R11" s="379">
        <f t="shared" si="5"/>
        <v>347930</v>
      </c>
      <c r="S11" s="381">
        <f t="shared" si="6"/>
        <v>100.00000000000001</v>
      </c>
    </row>
    <row r="12" spans="1:19" ht="17.25" customHeight="1">
      <c r="A12" s="2045">
        <v>4</v>
      </c>
      <c r="B12" s="2261" t="s">
        <v>1197</v>
      </c>
      <c r="C12" s="1241">
        <v>2001</v>
      </c>
      <c r="D12" s="1239">
        <v>156651</v>
      </c>
      <c r="E12" s="1244">
        <f t="shared" si="0"/>
        <v>56.23</v>
      </c>
      <c r="F12" s="1239">
        <v>114736</v>
      </c>
      <c r="G12" s="1244">
        <f>IF(F12="-","-",ROUND(F12/$R12*100,2))+0.01</f>
        <v>41.19</v>
      </c>
      <c r="H12" s="1239">
        <v>6975</v>
      </c>
      <c r="I12" s="1244">
        <f t="shared" si="1"/>
        <v>2.5</v>
      </c>
      <c r="J12" s="1246">
        <v>7</v>
      </c>
      <c r="K12" s="1244" t="str">
        <f t="shared" si="7"/>
        <v>-</v>
      </c>
      <c r="L12" s="1246">
        <v>2</v>
      </c>
      <c r="M12" s="1244" t="str">
        <f t="shared" si="2"/>
        <v>-</v>
      </c>
      <c r="N12" s="1246" t="s">
        <v>1229</v>
      </c>
      <c r="O12" s="1244" t="str">
        <f t="shared" si="3"/>
        <v>-</v>
      </c>
      <c r="P12" s="1246">
        <v>221</v>
      </c>
      <c r="Q12" s="1244">
        <f t="shared" si="4"/>
        <v>0.08</v>
      </c>
      <c r="R12" s="1239">
        <f t="shared" si="5"/>
        <v>278592</v>
      </c>
      <c r="S12" s="906">
        <f t="shared" si="6"/>
        <v>99.999999999999986</v>
      </c>
    </row>
    <row r="13" spans="1:19" ht="17.25" customHeight="1">
      <c r="A13" s="2046"/>
      <c r="B13" s="2262"/>
      <c r="C13" s="457">
        <v>1991</v>
      </c>
      <c r="D13" s="379">
        <v>134283</v>
      </c>
      <c r="E13" s="1247">
        <f t="shared" si="0"/>
        <v>59.16</v>
      </c>
      <c r="F13" s="379">
        <v>86130</v>
      </c>
      <c r="G13" s="1247">
        <f t="shared" ref="G13:G27" si="8">IF(F13="-","-",ROUND(F13/$R13*100,2))</f>
        <v>37.950000000000003</v>
      </c>
      <c r="H13" s="379">
        <v>6457</v>
      </c>
      <c r="I13" s="1247">
        <f t="shared" si="1"/>
        <v>2.84</v>
      </c>
      <c r="J13" s="380">
        <v>1</v>
      </c>
      <c r="K13" s="1247" t="str">
        <f t="shared" si="7"/>
        <v>-</v>
      </c>
      <c r="L13" s="380" t="s">
        <v>1229</v>
      </c>
      <c r="M13" s="1247" t="str">
        <f t="shared" si="2"/>
        <v>-</v>
      </c>
      <c r="N13" s="380" t="s">
        <v>1229</v>
      </c>
      <c r="O13" s="1247" t="str">
        <f t="shared" si="3"/>
        <v>-</v>
      </c>
      <c r="P13" s="380">
        <v>103</v>
      </c>
      <c r="Q13" s="1247">
        <f t="shared" si="4"/>
        <v>0.05</v>
      </c>
      <c r="R13" s="379">
        <f t="shared" si="5"/>
        <v>226974</v>
      </c>
      <c r="S13" s="381">
        <f t="shared" si="6"/>
        <v>100</v>
      </c>
    </row>
    <row r="14" spans="1:19" ht="17.25" customHeight="1">
      <c r="A14" s="2045">
        <v>5</v>
      </c>
      <c r="B14" s="2270" t="s">
        <v>202</v>
      </c>
      <c r="C14" s="1241">
        <v>2001</v>
      </c>
      <c r="D14" s="1239">
        <v>231291</v>
      </c>
      <c r="E14" s="1244">
        <f t="shared" si="0"/>
        <v>54.01</v>
      </c>
      <c r="F14" s="1239">
        <v>195272</v>
      </c>
      <c r="G14" s="1244">
        <f t="shared" si="8"/>
        <v>45.6</v>
      </c>
      <c r="H14" s="1239">
        <v>1256</v>
      </c>
      <c r="I14" s="1244">
        <f t="shared" si="1"/>
        <v>0.28999999999999998</v>
      </c>
      <c r="J14" s="1246">
        <v>20</v>
      </c>
      <c r="K14" s="1244">
        <f>IF(J14="-","-",IF(ROUND(J14/$R14*100,2)+0.01=0,"-",ROUND(J14/$R14*100,2)+0.01))</f>
        <v>0.01</v>
      </c>
      <c r="L14" s="1246">
        <v>28</v>
      </c>
      <c r="M14" s="1244">
        <f t="shared" si="2"/>
        <v>0.01</v>
      </c>
      <c r="N14" s="1246">
        <v>16</v>
      </c>
      <c r="O14" s="1244" t="str">
        <f t="shared" si="3"/>
        <v>-</v>
      </c>
      <c r="P14" s="1246">
        <v>352</v>
      </c>
      <c r="Q14" s="1244">
        <f t="shared" si="4"/>
        <v>0.08</v>
      </c>
      <c r="R14" s="1239">
        <f t="shared" si="5"/>
        <v>428235</v>
      </c>
      <c r="S14" s="906">
        <f t="shared" si="6"/>
        <v>100.00000000000001</v>
      </c>
    </row>
    <row r="15" spans="1:19" ht="17.25" customHeight="1">
      <c r="A15" s="2046"/>
      <c r="B15" s="2262"/>
      <c r="C15" s="457">
        <v>1991</v>
      </c>
      <c r="D15" s="379">
        <v>202273</v>
      </c>
      <c r="E15" s="1247">
        <f t="shared" si="0"/>
        <v>55.78</v>
      </c>
      <c r="F15" s="379">
        <v>159783</v>
      </c>
      <c r="G15" s="1247">
        <f t="shared" si="8"/>
        <v>44.07</v>
      </c>
      <c r="H15" s="379">
        <v>170</v>
      </c>
      <c r="I15" s="1247">
        <f t="shared" si="1"/>
        <v>0.05</v>
      </c>
      <c r="J15" s="380" t="s">
        <v>1229</v>
      </c>
      <c r="K15" s="1247" t="str">
        <f t="shared" si="7"/>
        <v>-</v>
      </c>
      <c r="L15" s="380">
        <v>6</v>
      </c>
      <c r="M15" s="1247" t="str">
        <f t="shared" si="2"/>
        <v>-</v>
      </c>
      <c r="N15" s="380" t="s">
        <v>1229</v>
      </c>
      <c r="O15" s="1247" t="str">
        <f t="shared" si="3"/>
        <v>-</v>
      </c>
      <c r="P15" s="380">
        <v>374</v>
      </c>
      <c r="Q15" s="1247">
        <f t="shared" si="4"/>
        <v>0.1</v>
      </c>
      <c r="R15" s="379">
        <f t="shared" si="5"/>
        <v>362606</v>
      </c>
      <c r="S15" s="381">
        <f t="shared" si="6"/>
        <v>99.999999999999986</v>
      </c>
    </row>
    <row r="16" spans="1:19" ht="17.25" customHeight="1">
      <c r="A16" s="2045">
        <v>6</v>
      </c>
      <c r="B16" s="2261" t="s">
        <v>1194</v>
      </c>
      <c r="C16" s="1241">
        <v>2001</v>
      </c>
      <c r="D16" s="1239">
        <v>137670</v>
      </c>
      <c r="E16" s="1244">
        <f t="shared" si="0"/>
        <v>73.23</v>
      </c>
      <c r="F16" s="1239">
        <v>50124</v>
      </c>
      <c r="G16" s="1244">
        <f t="shared" si="8"/>
        <v>26.66</v>
      </c>
      <c r="H16" s="1239">
        <v>139</v>
      </c>
      <c r="I16" s="1244">
        <f>IF(H16="-","-",ROUND(H16/$R16*100,2))+0.01</f>
        <v>0.08</v>
      </c>
      <c r="J16" s="1246">
        <v>4</v>
      </c>
      <c r="K16" s="1244" t="str">
        <f t="shared" si="7"/>
        <v>-</v>
      </c>
      <c r="L16" s="1246">
        <v>5</v>
      </c>
      <c r="M16" s="1244" t="str">
        <f t="shared" si="2"/>
        <v>-</v>
      </c>
      <c r="N16" s="1246">
        <v>1</v>
      </c>
      <c r="O16" s="1244" t="str">
        <f t="shared" si="3"/>
        <v>-</v>
      </c>
      <c r="P16" s="1246">
        <v>46</v>
      </c>
      <c r="Q16" s="1244">
        <f>IF(P16="-","-",IF(ROUND(P16/$R16*100,2)+0.01=0,"-",ROUND(P16/$R16*100,2)+0.01))</f>
        <v>0.03</v>
      </c>
      <c r="R16" s="1239">
        <f t="shared" si="5"/>
        <v>187989</v>
      </c>
      <c r="S16" s="906">
        <f t="shared" si="6"/>
        <v>100</v>
      </c>
    </row>
    <row r="17" spans="1:19" ht="17.25" customHeight="1">
      <c r="A17" s="2046"/>
      <c r="B17" s="2262"/>
      <c r="C17" s="457">
        <v>1991</v>
      </c>
      <c r="D17" s="379">
        <v>126816</v>
      </c>
      <c r="E17" s="1247">
        <f t="shared" si="0"/>
        <v>81.06</v>
      </c>
      <c r="F17" s="379">
        <v>28434</v>
      </c>
      <c r="G17" s="1247">
        <f t="shared" si="8"/>
        <v>18.170000000000002</v>
      </c>
      <c r="H17" s="379">
        <v>1200</v>
      </c>
      <c r="I17" s="1247">
        <f>IF(H17="-","-",ROUND(H17/$R17*100,2))</f>
        <v>0.77</v>
      </c>
      <c r="J17" s="380" t="s">
        <v>1229</v>
      </c>
      <c r="K17" s="1247" t="str">
        <f t="shared" si="7"/>
        <v>-</v>
      </c>
      <c r="L17" s="380" t="s">
        <v>1229</v>
      </c>
      <c r="M17" s="1247" t="str">
        <f t="shared" si="2"/>
        <v>-</v>
      </c>
      <c r="N17" s="380" t="s">
        <v>1229</v>
      </c>
      <c r="O17" s="1247" t="str">
        <f t="shared" si="3"/>
        <v>-</v>
      </c>
      <c r="P17" s="380" t="s">
        <v>1229</v>
      </c>
      <c r="Q17" s="1247" t="str">
        <f t="shared" si="4"/>
        <v>-</v>
      </c>
      <c r="R17" s="379">
        <f t="shared" si="5"/>
        <v>156450</v>
      </c>
      <c r="S17" s="381">
        <f t="shared" si="6"/>
        <v>100</v>
      </c>
    </row>
    <row r="18" spans="1:19" ht="17.25" customHeight="1">
      <c r="A18" s="2045">
        <v>7</v>
      </c>
      <c r="B18" s="2261" t="s">
        <v>1221</v>
      </c>
      <c r="C18" s="1241">
        <v>2001</v>
      </c>
      <c r="D18" s="1239">
        <v>223303</v>
      </c>
      <c r="E18" s="1244">
        <f t="shared" si="0"/>
        <v>63.54</v>
      </c>
      <c r="F18" s="1239">
        <v>124507</v>
      </c>
      <c r="G18" s="1244">
        <f t="shared" si="8"/>
        <v>35.43</v>
      </c>
      <c r="H18" s="1239">
        <v>2702</v>
      </c>
      <c r="I18" s="1244">
        <f>IF(H18="-","-",ROUND(H18/$R18*100,2))</f>
        <v>0.77</v>
      </c>
      <c r="J18" s="1246">
        <v>22</v>
      </c>
      <c r="K18" s="1244">
        <f t="shared" si="7"/>
        <v>0.01</v>
      </c>
      <c r="L18" s="1246">
        <v>37</v>
      </c>
      <c r="M18" s="1244">
        <f t="shared" si="2"/>
        <v>0.01</v>
      </c>
      <c r="N18" s="1246">
        <v>3</v>
      </c>
      <c r="O18" s="1244" t="str">
        <f t="shared" si="3"/>
        <v>-</v>
      </c>
      <c r="P18" s="1246">
        <v>865</v>
      </c>
      <c r="Q18" s="1244">
        <f>IF(P18="-","-",IF(ROUND(P18/$R18*100,2)-0.01=0,"-",ROUND(P18/$R18*100,2)-0.01))</f>
        <v>0.24</v>
      </c>
      <c r="R18" s="1239">
        <f t="shared" si="5"/>
        <v>351439</v>
      </c>
      <c r="S18" s="906">
        <f t="shared" si="6"/>
        <v>100</v>
      </c>
    </row>
    <row r="19" spans="1:19" ht="17.25" customHeight="1">
      <c r="A19" s="2046"/>
      <c r="B19" s="2262"/>
      <c r="C19" s="457">
        <v>1991</v>
      </c>
      <c r="D19" s="379">
        <v>185512</v>
      </c>
      <c r="E19" s="1247">
        <f t="shared" si="0"/>
        <v>67.599999999999994</v>
      </c>
      <c r="F19" s="379">
        <v>86542</v>
      </c>
      <c r="G19" s="1247">
        <f t="shared" si="8"/>
        <v>31.54</v>
      </c>
      <c r="H19" s="379">
        <v>2287</v>
      </c>
      <c r="I19" s="1247">
        <f>IF(H19="-","-",ROUND(H19/$R19*100,2))</f>
        <v>0.83</v>
      </c>
      <c r="J19" s="380">
        <v>9</v>
      </c>
      <c r="K19" s="1247" t="str">
        <f t="shared" si="7"/>
        <v>-</v>
      </c>
      <c r="L19" s="380">
        <v>43</v>
      </c>
      <c r="M19" s="1247">
        <f t="shared" si="2"/>
        <v>0.02</v>
      </c>
      <c r="N19" s="380" t="s">
        <v>1229</v>
      </c>
      <c r="O19" s="1247" t="str">
        <f t="shared" si="3"/>
        <v>-</v>
      </c>
      <c r="P19" s="380">
        <v>16</v>
      </c>
      <c r="Q19" s="1247">
        <f t="shared" si="4"/>
        <v>0.01</v>
      </c>
      <c r="R19" s="379">
        <f t="shared" si="5"/>
        <v>274409</v>
      </c>
      <c r="S19" s="381">
        <f t="shared" si="6"/>
        <v>99.999999999999986</v>
      </c>
    </row>
    <row r="20" spans="1:19" ht="17.25" customHeight="1">
      <c r="A20" s="2045">
        <v>8</v>
      </c>
      <c r="B20" s="2270" t="s">
        <v>203</v>
      </c>
      <c r="C20" s="1241">
        <v>2001</v>
      </c>
      <c r="D20" s="1239">
        <v>258280</v>
      </c>
      <c r="E20" s="1244">
        <f t="shared" si="0"/>
        <v>65.06</v>
      </c>
      <c r="F20" s="1239">
        <v>127692</v>
      </c>
      <c r="G20" s="1244">
        <f t="shared" si="8"/>
        <v>32.159999999999997</v>
      </c>
      <c r="H20" s="1239">
        <v>10651</v>
      </c>
      <c r="I20" s="1244">
        <f>IF(H20="-","-",ROUND(H20/$R20*100,2))</f>
        <v>2.68</v>
      </c>
      <c r="J20" s="1246">
        <v>39</v>
      </c>
      <c r="K20" s="1244">
        <f t="shared" si="7"/>
        <v>0.01</v>
      </c>
      <c r="L20" s="1246">
        <v>75</v>
      </c>
      <c r="M20" s="1244">
        <f t="shared" si="2"/>
        <v>0.02</v>
      </c>
      <c r="N20" s="1246">
        <v>4</v>
      </c>
      <c r="O20" s="1244" t="str">
        <f t="shared" si="3"/>
        <v>-</v>
      </c>
      <c r="P20" s="1246">
        <v>265</v>
      </c>
      <c r="Q20" s="1244">
        <f t="shared" si="4"/>
        <v>7.0000000000000007E-2</v>
      </c>
      <c r="R20" s="1239">
        <f t="shared" si="5"/>
        <v>397006</v>
      </c>
      <c r="S20" s="381">
        <f t="shared" si="6"/>
        <v>100</v>
      </c>
    </row>
    <row r="21" spans="1:19" ht="17.25" customHeight="1">
      <c r="A21" s="2046"/>
      <c r="B21" s="2262"/>
      <c r="C21" s="457">
        <v>1991</v>
      </c>
      <c r="D21" s="379">
        <v>289742</v>
      </c>
      <c r="E21" s="1247">
        <f t="shared" si="0"/>
        <v>79.760000000000005</v>
      </c>
      <c r="F21" s="379">
        <v>61675</v>
      </c>
      <c r="G21" s="1247">
        <f t="shared" si="8"/>
        <v>16.98</v>
      </c>
      <c r="H21" s="379">
        <v>11736</v>
      </c>
      <c r="I21" s="1247">
        <f>IF(H21="-","-",ROUND(H21/$R21*100,2))</f>
        <v>3.23</v>
      </c>
      <c r="J21" s="380" t="s">
        <v>1229</v>
      </c>
      <c r="K21" s="1247" t="str">
        <f t="shared" si="7"/>
        <v>-</v>
      </c>
      <c r="L21" s="380">
        <v>11</v>
      </c>
      <c r="M21" s="1247" t="str">
        <f t="shared" si="2"/>
        <v>-</v>
      </c>
      <c r="N21" s="380" t="s">
        <v>1229</v>
      </c>
      <c r="O21" s="1247" t="str">
        <f t="shared" si="3"/>
        <v>-</v>
      </c>
      <c r="P21" s="380">
        <v>93</v>
      </c>
      <c r="Q21" s="1247">
        <f t="shared" si="4"/>
        <v>0.03</v>
      </c>
      <c r="R21" s="379">
        <f t="shared" si="5"/>
        <v>363257</v>
      </c>
      <c r="S21" s="381">
        <f t="shared" si="6"/>
        <v>100.00000000000001</v>
      </c>
    </row>
    <row r="22" spans="1:19" ht="17.25" customHeight="1">
      <c r="A22" s="2045">
        <v>9</v>
      </c>
      <c r="B22" s="2270" t="s">
        <v>204</v>
      </c>
      <c r="C22" s="1241">
        <v>2001</v>
      </c>
      <c r="D22" s="1239">
        <v>177737</v>
      </c>
      <c r="E22" s="1244">
        <f t="shared" si="0"/>
        <v>65.010000000000005</v>
      </c>
      <c r="F22" s="1239">
        <v>95454</v>
      </c>
      <c r="G22" s="1244">
        <f t="shared" si="8"/>
        <v>34.909999999999997</v>
      </c>
      <c r="H22" s="1239">
        <v>40</v>
      </c>
      <c r="I22" s="1244">
        <f>IF(H22="-","-",ROUND(H22/$R22*100,2))+0.01</f>
        <v>0.02</v>
      </c>
      <c r="J22" s="1246">
        <v>18</v>
      </c>
      <c r="K22" s="1244">
        <f t="shared" si="7"/>
        <v>0.01</v>
      </c>
      <c r="L22" s="1246">
        <v>32</v>
      </c>
      <c r="M22" s="1244">
        <f t="shared" si="2"/>
        <v>0.01</v>
      </c>
      <c r="N22" s="1246">
        <v>3</v>
      </c>
      <c r="O22" s="1244" t="str">
        <f t="shared" si="3"/>
        <v>-</v>
      </c>
      <c r="P22" s="1246">
        <v>107</v>
      </c>
      <c r="Q22" s="1244">
        <f t="shared" si="4"/>
        <v>0.04</v>
      </c>
      <c r="R22" s="1239">
        <f t="shared" si="5"/>
        <v>273391</v>
      </c>
      <c r="S22" s="906">
        <f t="shared" si="6"/>
        <v>100.00000000000001</v>
      </c>
    </row>
    <row r="23" spans="1:19" ht="17.25" customHeight="1">
      <c r="A23" s="2046"/>
      <c r="B23" s="2262"/>
      <c r="C23" s="457">
        <v>1991</v>
      </c>
      <c r="D23" s="379">
        <v>182265</v>
      </c>
      <c r="E23" s="1247">
        <f t="shared" si="0"/>
        <v>67.48</v>
      </c>
      <c r="F23" s="379">
        <v>87523</v>
      </c>
      <c r="G23" s="1247">
        <f t="shared" si="8"/>
        <v>32.409999999999997</v>
      </c>
      <c r="H23" s="379">
        <v>10</v>
      </c>
      <c r="I23" s="1247">
        <f>IF(H23="-","-",ROUND(H23/$R23*100,2))</f>
        <v>0</v>
      </c>
      <c r="J23" s="380">
        <v>92</v>
      </c>
      <c r="K23" s="1247">
        <f t="shared" si="7"/>
        <v>0.03</v>
      </c>
      <c r="L23" s="380" t="s">
        <v>1229</v>
      </c>
      <c r="M23" s="1247" t="str">
        <f t="shared" si="2"/>
        <v>-</v>
      </c>
      <c r="N23" s="380">
        <v>123</v>
      </c>
      <c r="O23" s="1247">
        <f t="shared" si="3"/>
        <v>0.05</v>
      </c>
      <c r="P23" s="380">
        <v>72</v>
      </c>
      <c r="Q23" s="1247">
        <f t="shared" si="4"/>
        <v>0.03</v>
      </c>
      <c r="R23" s="379">
        <f t="shared" si="5"/>
        <v>270085</v>
      </c>
      <c r="S23" s="381">
        <f t="shared" si="6"/>
        <v>100</v>
      </c>
    </row>
    <row r="24" spans="1:19" ht="17.25" customHeight="1">
      <c r="A24" s="2045">
        <v>10</v>
      </c>
      <c r="B24" s="2270" t="s">
        <v>205</v>
      </c>
      <c r="C24" s="1241">
        <v>2001</v>
      </c>
      <c r="D24" s="1239">
        <v>136477</v>
      </c>
      <c r="E24" s="1244">
        <f t="shared" si="0"/>
        <v>33.130000000000003</v>
      </c>
      <c r="F24" s="1239">
        <v>275065</v>
      </c>
      <c r="G24" s="1244">
        <f t="shared" si="8"/>
        <v>66.77</v>
      </c>
      <c r="H24" s="1239">
        <v>76</v>
      </c>
      <c r="I24" s="1244">
        <f>IF(H24="-","-",ROUND(H24/$R24*100,2))</f>
        <v>0.02</v>
      </c>
      <c r="J24" s="1246">
        <v>5</v>
      </c>
      <c r="K24" s="1244" t="str">
        <f t="shared" si="7"/>
        <v>-</v>
      </c>
      <c r="L24" s="1246">
        <v>10</v>
      </c>
      <c r="M24" s="1244" t="str">
        <f t="shared" si="2"/>
        <v>-</v>
      </c>
      <c r="N24" s="1246">
        <v>4</v>
      </c>
      <c r="O24" s="1244" t="str">
        <f t="shared" si="3"/>
        <v>-</v>
      </c>
      <c r="P24" s="1246">
        <v>323</v>
      </c>
      <c r="Q24" s="1244">
        <f t="shared" si="4"/>
        <v>0.08</v>
      </c>
      <c r="R24" s="1239">
        <f t="shared" si="5"/>
        <v>411960</v>
      </c>
      <c r="S24" s="906">
        <f t="shared" si="6"/>
        <v>100</v>
      </c>
    </row>
    <row r="25" spans="1:19" ht="17.25" customHeight="1">
      <c r="A25" s="2046"/>
      <c r="B25" s="2262"/>
      <c r="C25" s="457">
        <v>1991</v>
      </c>
      <c r="D25" s="379">
        <v>115853</v>
      </c>
      <c r="E25" s="1247">
        <f t="shared" si="0"/>
        <v>35.049999999999997</v>
      </c>
      <c r="F25" s="379">
        <v>214685</v>
      </c>
      <c r="G25" s="1247">
        <f t="shared" si="8"/>
        <v>64.94</v>
      </c>
      <c r="H25" s="379" t="s">
        <v>1229</v>
      </c>
      <c r="I25" s="1247" t="str">
        <f>IF(H25="-","-",ROUND(H25/$R25*100,2))</f>
        <v>-</v>
      </c>
      <c r="J25" s="380">
        <v>1</v>
      </c>
      <c r="K25" s="1247" t="str">
        <f t="shared" si="7"/>
        <v>-</v>
      </c>
      <c r="L25" s="380" t="s">
        <v>1229</v>
      </c>
      <c r="M25" s="1247" t="str">
        <f t="shared" si="2"/>
        <v>-</v>
      </c>
      <c r="N25" s="380" t="s">
        <v>1229</v>
      </c>
      <c r="O25" s="1247" t="str">
        <f t="shared" si="3"/>
        <v>-</v>
      </c>
      <c r="P25" s="380">
        <v>44</v>
      </c>
      <c r="Q25" s="1247">
        <f t="shared" si="4"/>
        <v>0.01</v>
      </c>
      <c r="R25" s="379">
        <f t="shared" si="5"/>
        <v>330583</v>
      </c>
      <c r="S25" s="381">
        <f t="shared" si="6"/>
        <v>100</v>
      </c>
    </row>
    <row r="26" spans="1:19" ht="17.25" customHeight="1">
      <c r="A26" s="2045">
        <v>11</v>
      </c>
      <c r="B26" s="2261" t="s">
        <v>1198</v>
      </c>
      <c r="C26" s="1241">
        <v>2001</v>
      </c>
      <c r="D26" s="1239">
        <v>200606</v>
      </c>
      <c r="E26" s="1244">
        <f t="shared" si="0"/>
        <v>90.03</v>
      </c>
      <c r="F26" s="1239">
        <v>18906</v>
      </c>
      <c r="G26" s="1244">
        <f t="shared" si="8"/>
        <v>8.48</v>
      </c>
      <c r="H26" s="1239">
        <v>2892</v>
      </c>
      <c r="I26" s="1244">
        <f>IF(H26="-","-",ROUND(H26/$R26*100,2))</f>
        <v>1.3</v>
      </c>
      <c r="J26" s="1246">
        <v>3</v>
      </c>
      <c r="K26" s="1244" t="str">
        <f t="shared" si="7"/>
        <v>-</v>
      </c>
      <c r="L26" s="1246">
        <v>2</v>
      </c>
      <c r="M26" s="1244" t="str">
        <f t="shared" si="2"/>
        <v>-</v>
      </c>
      <c r="N26" s="1246" t="s">
        <v>1229</v>
      </c>
      <c r="O26" s="1244" t="str">
        <f t="shared" si="3"/>
        <v>-</v>
      </c>
      <c r="P26" s="1246">
        <v>413</v>
      </c>
      <c r="Q26" s="1244">
        <f t="shared" si="4"/>
        <v>0.19</v>
      </c>
      <c r="R26" s="1239">
        <f t="shared" si="5"/>
        <v>222822</v>
      </c>
      <c r="S26" s="906">
        <f t="shared" si="6"/>
        <v>100</v>
      </c>
    </row>
    <row r="27" spans="1:19" ht="17.25" customHeight="1">
      <c r="A27" s="2046"/>
      <c r="B27" s="2262"/>
      <c r="C27" s="457">
        <v>1991</v>
      </c>
      <c r="D27" s="379">
        <v>183406</v>
      </c>
      <c r="E27" s="1247">
        <f t="shared" si="0"/>
        <v>91.47</v>
      </c>
      <c r="F27" s="379">
        <v>14536</v>
      </c>
      <c r="G27" s="1247">
        <f t="shared" si="8"/>
        <v>7.25</v>
      </c>
      <c r="H27" s="379">
        <v>2572</v>
      </c>
      <c r="I27" s="1247">
        <f>IF(H27="-","-",ROUND(H27/$R27*100,2))</f>
        <v>1.28</v>
      </c>
      <c r="J27" s="380" t="s">
        <v>1229</v>
      </c>
      <c r="K27" s="1247" t="str">
        <f t="shared" si="7"/>
        <v>-</v>
      </c>
      <c r="L27" s="380" t="s">
        <v>1229</v>
      </c>
      <c r="M27" s="1247" t="str">
        <f t="shared" si="2"/>
        <v>-</v>
      </c>
      <c r="N27" s="380" t="s">
        <v>1229</v>
      </c>
      <c r="O27" s="1247" t="str">
        <f t="shared" si="3"/>
        <v>-</v>
      </c>
      <c r="P27" s="380" t="s">
        <v>1229</v>
      </c>
      <c r="Q27" s="1247" t="str">
        <f t="shared" si="4"/>
        <v>-</v>
      </c>
      <c r="R27" s="379">
        <f t="shared" si="5"/>
        <v>200514</v>
      </c>
      <c r="S27" s="381">
        <f t="shared" si="6"/>
        <v>100</v>
      </c>
    </row>
    <row r="28" spans="1:19">
      <c r="A28" s="587"/>
      <c r="B28" s="588"/>
      <c r="C28" s="589"/>
      <c r="D28" s="585"/>
      <c r="E28" s="590"/>
      <c r="F28" s="585"/>
      <c r="G28" s="590"/>
      <c r="H28" s="585"/>
      <c r="I28" s="590"/>
      <c r="J28" s="586"/>
      <c r="K28" s="590"/>
      <c r="L28" s="586"/>
      <c r="M28" s="590"/>
      <c r="N28" s="586"/>
      <c r="O28" s="590"/>
      <c r="P28" s="586"/>
      <c r="Q28" s="590"/>
      <c r="R28" s="585"/>
      <c r="S28" s="1150" t="s">
        <v>678</v>
      </c>
    </row>
    <row r="29" spans="1:19">
      <c r="A29" s="587"/>
      <c r="B29" s="588"/>
      <c r="C29" s="589"/>
      <c r="D29" s="585"/>
      <c r="E29" s="590"/>
      <c r="F29" s="585"/>
      <c r="G29" s="590"/>
      <c r="H29" s="585"/>
      <c r="I29" s="590"/>
      <c r="J29" s="586"/>
      <c r="K29" s="590"/>
      <c r="L29" s="586"/>
      <c r="M29" s="590"/>
      <c r="N29" s="586"/>
      <c r="O29" s="590"/>
      <c r="P29" s="586"/>
      <c r="Q29" s="590"/>
      <c r="R29" s="585"/>
      <c r="S29" s="591"/>
    </row>
    <row r="30" spans="1:19">
      <c r="A30" s="2100" t="s">
        <v>822</v>
      </c>
      <c r="B30" s="2100"/>
      <c r="C30" s="2100"/>
      <c r="D30" s="2100"/>
      <c r="E30" s="2100"/>
      <c r="F30" s="2100"/>
      <c r="G30" s="2100"/>
      <c r="H30" s="2100"/>
      <c r="I30" s="2100"/>
      <c r="J30" s="2100"/>
      <c r="K30" s="2100"/>
      <c r="L30" s="2100"/>
      <c r="M30" s="2100"/>
      <c r="N30" s="2100"/>
      <c r="O30" s="2100"/>
      <c r="P30" s="2100"/>
      <c r="Q30" s="2100"/>
      <c r="R30" s="2100"/>
      <c r="S30" s="2100"/>
    </row>
    <row r="31" spans="1:19">
      <c r="A31" s="2263" t="s">
        <v>319</v>
      </c>
      <c r="B31" s="2265" t="s">
        <v>477</v>
      </c>
      <c r="C31" s="2267" t="s">
        <v>318</v>
      </c>
      <c r="D31" s="2268" t="s">
        <v>1706</v>
      </c>
      <c r="E31" s="2268"/>
      <c r="F31" s="2268" t="s">
        <v>1707</v>
      </c>
      <c r="G31" s="2268"/>
      <c r="H31" s="2268" t="s">
        <v>1708</v>
      </c>
      <c r="I31" s="2268"/>
      <c r="J31" s="2268" t="s">
        <v>1709</v>
      </c>
      <c r="K31" s="2268"/>
      <c r="L31" s="2268" t="s">
        <v>1710</v>
      </c>
      <c r="M31" s="2268"/>
      <c r="N31" s="2268" t="s">
        <v>1711</v>
      </c>
      <c r="O31" s="2268"/>
      <c r="P31" s="2269" t="s">
        <v>1111</v>
      </c>
      <c r="Q31" s="2260"/>
      <c r="R31" s="2259" t="s">
        <v>958</v>
      </c>
      <c r="S31" s="2260"/>
    </row>
    <row r="32" spans="1:19" ht="77.25" customHeight="1">
      <c r="A32" s="1836"/>
      <c r="B32" s="2266"/>
      <c r="C32" s="1836"/>
      <c r="D32" s="989" t="s">
        <v>847</v>
      </c>
      <c r="E32" s="135" t="s">
        <v>320</v>
      </c>
      <c r="F32" s="989" t="s">
        <v>847</v>
      </c>
      <c r="G32" s="135" t="s">
        <v>320</v>
      </c>
      <c r="H32" s="989" t="s">
        <v>847</v>
      </c>
      <c r="I32" s="135" t="s">
        <v>320</v>
      </c>
      <c r="J32" s="989" t="s">
        <v>488</v>
      </c>
      <c r="K32" s="135" t="s">
        <v>320</v>
      </c>
      <c r="L32" s="989" t="s">
        <v>488</v>
      </c>
      <c r="M32" s="135" t="s">
        <v>320</v>
      </c>
      <c r="N32" s="989" t="s">
        <v>488</v>
      </c>
      <c r="O32" s="135" t="s">
        <v>320</v>
      </c>
      <c r="P32" s="989" t="s">
        <v>488</v>
      </c>
      <c r="Q32" s="135" t="s">
        <v>320</v>
      </c>
      <c r="R32" s="989" t="s">
        <v>847</v>
      </c>
      <c r="S32" s="135" t="s">
        <v>320</v>
      </c>
    </row>
    <row r="33" spans="1:19">
      <c r="A33" s="621" t="s">
        <v>928</v>
      </c>
      <c r="B33" s="623" t="s">
        <v>929</v>
      </c>
      <c r="C33" s="642" t="s">
        <v>930</v>
      </c>
      <c r="D33" s="643" t="s">
        <v>931</v>
      </c>
      <c r="E33" s="644" t="s">
        <v>932</v>
      </c>
      <c r="F33" s="622" t="s">
        <v>933</v>
      </c>
      <c r="G33" s="621" t="s">
        <v>934</v>
      </c>
      <c r="H33" s="622" t="s">
        <v>959</v>
      </c>
      <c r="I33" s="621" t="s">
        <v>960</v>
      </c>
      <c r="J33" s="622" t="s">
        <v>961</v>
      </c>
      <c r="K33" s="621" t="s">
        <v>962</v>
      </c>
      <c r="L33" s="622" t="s">
        <v>1037</v>
      </c>
      <c r="M33" s="621" t="s">
        <v>1038</v>
      </c>
      <c r="N33" s="622" t="s">
        <v>1039</v>
      </c>
      <c r="O33" s="621" t="s">
        <v>1040</v>
      </c>
      <c r="P33" s="622" t="s">
        <v>1041</v>
      </c>
      <c r="Q33" s="621" t="s">
        <v>1042</v>
      </c>
      <c r="R33" s="622" t="s">
        <v>1044</v>
      </c>
      <c r="S33" s="621" t="s">
        <v>1043</v>
      </c>
    </row>
    <row r="34" spans="1:19" ht="18" customHeight="1">
      <c r="A34" s="2045">
        <v>12</v>
      </c>
      <c r="B34" s="2270" t="s">
        <v>207</v>
      </c>
      <c r="C34" s="1241">
        <v>2001</v>
      </c>
      <c r="D34" s="1239">
        <v>232939</v>
      </c>
      <c r="E34" s="1244">
        <f t="shared" ref="E34:E53" si="9">IF(D34="-","-",ROUND(D34/$R34*100,2))</f>
        <v>47.5</v>
      </c>
      <c r="F34" s="1239">
        <v>250576</v>
      </c>
      <c r="G34" s="1244">
        <f t="shared" ref="G34:G53" si="10">IF(F34="-","-",ROUND(F34/$R34*100,2))</f>
        <v>51.09</v>
      </c>
      <c r="H34" s="1239">
        <v>6489</v>
      </c>
      <c r="I34" s="1244">
        <f>IF(H34="-","-",IF(ROUND(H34/$R34*100,2)+0.01=0,"-",ROUND(H34/$R34*100,2)+0.01))</f>
        <v>1.33</v>
      </c>
      <c r="J34" s="1246">
        <v>9</v>
      </c>
      <c r="K34" s="1244" t="str">
        <f t="shared" ref="K34:K53" si="11">IF(J34="-","-",IF(ROUND(J34/$R34*100,2)=0,"-",ROUND(J34/$R34*100,2)))</f>
        <v>-</v>
      </c>
      <c r="L34" s="1246">
        <v>8</v>
      </c>
      <c r="M34" s="1244" t="str">
        <f t="shared" ref="M34:M53" si="12">IF(L34="-","-",IF(ROUND(L34/$R34*100,2)=0,"-",ROUND(L34/$R34*100,2)))</f>
        <v>-</v>
      </c>
      <c r="N34" s="1246">
        <v>1</v>
      </c>
      <c r="O34" s="1244" t="str">
        <f t="shared" ref="O34:O53" si="13">IF(N34="-","-",IF(ROUND(N34/$R34*100,2)=0,"-",ROUND(N34/$R34*100,2)))</f>
        <v>-</v>
      </c>
      <c r="P34" s="1246">
        <v>405</v>
      </c>
      <c r="Q34" s="1244">
        <f t="shared" ref="Q34:Q52" si="14">IF(P34="-","-",IF(ROUND(P34/$R34*100,2)=0,"-",ROUND(P34/$R34*100,2)))</f>
        <v>0.08</v>
      </c>
      <c r="R34" s="1239">
        <f t="shared" ref="R34:R53" si="15">SUM(D34,F34,H34,J34,L34,N34,P34)</f>
        <v>490427</v>
      </c>
      <c r="S34" s="906">
        <f t="shared" ref="S34:S53" si="16">SUM(E34,G34,I34,K34,M34,O34,Q34)</f>
        <v>100</v>
      </c>
    </row>
    <row r="35" spans="1:19" ht="18" customHeight="1">
      <c r="A35" s="2046"/>
      <c r="B35" s="2262"/>
      <c r="C35" s="457">
        <v>1991</v>
      </c>
      <c r="D35" s="379">
        <v>224778</v>
      </c>
      <c r="E35" s="1247">
        <f t="shared" si="9"/>
        <v>52.12</v>
      </c>
      <c r="F35" s="379">
        <v>200263</v>
      </c>
      <c r="G35" s="1247">
        <f t="shared" si="10"/>
        <v>46.44</v>
      </c>
      <c r="H35" s="379">
        <v>6226</v>
      </c>
      <c r="I35" s="1247">
        <f t="shared" ref="I35:I53" si="17">IF(H35="-","-",IF(ROUND(H35/$R35*100,2)=0,"-",ROUND(H35/$R35*100,2)))</f>
        <v>1.44</v>
      </c>
      <c r="J35" s="380" t="s">
        <v>1229</v>
      </c>
      <c r="K35" s="1247" t="str">
        <f t="shared" si="11"/>
        <v>-</v>
      </c>
      <c r="L35" s="380" t="s">
        <v>1229</v>
      </c>
      <c r="M35" s="1247" t="str">
        <f t="shared" si="12"/>
        <v>-</v>
      </c>
      <c r="N35" s="380" t="s">
        <v>1229</v>
      </c>
      <c r="O35" s="1247" t="str">
        <f t="shared" si="13"/>
        <v>-</v>
      </c>
      <c r="P35" s="380" t="s">
        <v>1229</v>
      </c>
      <c r="Q35" s="1247" t="str">
        <f t="shared" si="14"/>
        <v>-</v>
      </c>
      <c r="R35" s="379">
        <f t="shared" si="15"/>
        <v>431267</v>
      </c>
      <c r="S35" s="381">
        <f t="shared" si="16"/>
        <v>100</v>
      </c>
    </row>
    <row r="36" spans="1:19" ht="18" customHeight="1">
      <c r="A36" s="2045">
        <v>13</v>
      </c>
      <c r="B36" s="2261" t="s">
        <v>837</v>
      </c>
      <c r="C36" s="1241">
        <v>2001</v>
      </c>
      <c r="D36" s="1239">
        <v>120475</v>
      </c>
      <c r="E36" s="1244">
        <f t="shared" si="9"/>
        <v>65.790000000000006</v>
      </c>
      <c r="F36" s="1239">
        <v>62093</v>
      </c>
      <c r="G36" s="1244">
        <f t="shared" si="10"/>
        <v>33.909999999999997</v>
      </c>
      <c r="H36" s="1239">
        <v>222</v>
      </c>
      <c r="I36" s="1244">
        <f t="shared" si="17"/>
        <v>0.12</v>
      </c>
      <c r="J36" s="1246">
        <v>7</v>
      </c>
      <c r="K36" s="1244" t="str">
        <f t="shared" si="11"/>
        <v>-</v>
      </c>
      <c r="L36" s="1246">
        <v>5</v>
      </c>
      <c r="M36" s="1244" t="str">
        <f t="shared" si="12"/>
        <v>-</v>
      </c>
      <c r="N36" s="1246">
        <v>2</v>
      </c>
      <c r="O36" s="1244" t="str">
        <f t="shared" si="13"/>
        <v>-</v>
      </c>
      <c r="P36" s="1246">
        <v>327</v>
      </c>
      <c r="Q36" s="1244">
        <f t="shared" si="14"/>
        <v>0.18</v>
      </c>
      <c r="R36" s="1239">
        <f t="shared" si="15"/>
        <v>183131</v>
      </c>
      <c r="S36" s="906">
        <f t="shared" si="16"/>
        <v>100.00000000000001</v>
      </c>
    </row>
    <row r="37" spans="1:19" ht="18" customHeight="1">
      <c r="A37" s="2046"/>
      <c r="B37" s="2262"/>
      <c r="C37" s="457">
        <v>1991</v>
      </c>
      <c r="D37" s="379">
        <v>111808</v>
      </c>
      <c r="E37" s="1247">
        <f t="shared" si="9"/>
        <v>69.94</v>
      </c>
      <c r="F37" s="379">
        <v>47919</v>
      </c>
      <c r="G37" s="1247">
        <f t="shared" si="10"/>
        <v>29.98</v>
      </c>
      <c r="H37" s="379">
        <v>127</v>
      </c>
      <c r="I37" s="1247">
        <f t="shared" si="17"/>
        <v>0.08</v>
      </c>
      <c r="J37" s="380" t="s">
        <v>1229</v>
      </c>
      <c r="K37" s="1247" t="str">
        <f t="shared" si="11"/>
        <v>-</v>
      </c>
      <c r="L37" s="380" t="s">
        <v>1229</v>
      </c>
      <c r="M37" s="1247" t="str">
        <f t="shared" si="12"/>
        <v>-</v>
      </c>
      <c r="N37" s="380" t="s">
        <v>1229</v>
      </c>
      <c r="O37" s="1247" t="str">
        <f t="shared" si="13"/>
        <v>-</v>
      </c>
      <c r="P37" s="380">
        <v>1</v>
      </c>
      <c r="Q37" s="1247" t="str">
        <f t="shared" si="14"/>
        <v>-</v>
      </c>
      <c r="R37" s="379">
        <f t="shared" si="15"/>
        <v>159855</v>
      </c>
      <c r="S37" s="381">
        <f t="shared" si="16"/>
        <v>100</v>
      </c>
    </row>
    <row r="38" spans="1:19" ht="18" customHeight="1">
      <c r="A38" s="2045">
        <v>14</v>
      </c>
      <c r="B38" s="2261" t="s">
        <v>1203</v>
      </c>
      <c r="C38" s="1241">
        <v>2001</v>
      </c>
      <c r="D38" s="1239">
        <v>153466</v>
      </c>
      <c r="E38" s="1244">
        <f t="shared" si="9"/>
        <v>63.22</v>
      </c>
      <c r="F38" s="1239">
        <v>88230</v>
      </c>
      <c r="G38" s="1244">
        <f t="shared" si="10"/>
        <v>36.35</v>
      </c>
      <c r="H38" s="1239">
        <v>956</v>
      </c>
      <c r="I38" s="1244">
        <f t="shared" si="17"/>
        <v>0.39</v>
      </c>
      <c r="J38" s="1246">
        <v>13</v>
      </c>
      <c r="K38" s="1244" t="str">
        <f>IF(J38="-","-",IF(ROUND(J38/$R38*100,2)-0.01=0,"-",ROUND(J38/$R38*100,2)-0.01))</f>
        <v>-</v>
      </c>
      <c r="L38" s="1246" t="s">
        <v>1229</v>
      </c>
      <c r="M38" s="1244" t="str">
        <f t="shared" si="12"/>
        <v>-</v>
      </c>
      <c r="N38" s="1246" t="s">
        <v>1229</v>
      </c>
      <c r="O38" s="1244" t="str">
        <f t="shared" si="13"/>
        <v>-</v>
      </c>
      <c r="P38" s="1246">
        <v>87</v>
      </c>
      <c r="Q38" s="1244">
        <f t="shared" si="14"/>
        <v>0.04</v>
      </c>
      <c r="R38" s="1239">
        <f t="shared" si="15"/>
        <v>242752</v>
      </c>
      <c r="S38" s="906">
        <f t="shared" si="16"/>
        <v>100</v>
      </c>
    </row>
    <row r="39" spans="1:19" ht="18" customHeight="1">
      <c r="A39" s="2046"/>
      <c r="B39" s="2262"/>
      <c r="C39" s="457">
        <v>1991</v>
      </c>
      <c r="D39" s="379">
        <v>143785</v>
      </c>
      <c r="E39" s="1247">
        <f t="shared" si="9"/>
        <v>67.930000000000007</v>
      </c>
      <c r="F39" s="379">
        <v>66969</v>
      </c>
      <c r="G39" s="1247">
        <f t="shared" si="10"/>
        <v>31.64</v>
      </c>
      <c r="H39" s="379">
        <v>897</v>
      </c>
      <c r="I39" s="1247">
        <f>IF(H39="-","-",IF(ROUND(H39/$R39*100,2)+0.01=0,"-",ROUND(H39/$R39*100,2)+0.01))</f>
        <v>0.43</v>
      </c>
      <c r="J39" s="380" t="s">
        <v>1229</v>
      </c>
      <c r="K39" s="1247" t="str">
        <f t="shared" si="11"/>
        <v>-</v>
      </c>
      <c r="L39" s="380" t="s">
        <v>1229</v>
      </c>
      <c r="M39" s="1247" t="str">
        <f t="shared" si="12"/>
        <v>-</v>
      </c>
      <c r="N39" s="380" t="s">
        <v>1229</v>
      </c>
      <c r="O39" s="1247" t="str">
        <f t="shared" si="13"/>
        <v>-</v>
      </c>
      <c r="P39" s="380" t="s">
        <v>1229</v>
      </c>
      <c r="Q39" s="1247" t="str">
        <f t="shared" si="14"/>
        <v>-</v>
      </c>
      <c r="R39" s="379">
        <f t="shared" si="15"/>
        <v>211651</v>
      </c>
      <c r="S39" s="381">
        <f t="shared" si="16"/>
        <v>100.00000000000001</v>
      </c>
    </row>
    <row r="40" spans="1:19" ht="18" customHeight="1">
      <c r="A40" s="2045">
        <v>15</v>
      </c>
      <c r="B40" s="2261" t="s">
        <v>1204</v>
      </c>
      <c r="C40" s="1241">
        <v>2001</v>
      </c>
      <c r="D40" s="1239">
        <v>151029</v>
      </c>
      <c r="E40" s="1244">
        <f t="shared" si="9"/>
        <v>68.12</v>
      </c>
      <c r="F40" s="1239">
        <v>70489</v>
      </c>
      <c r="G40" s="1244">
        <f t="shared" si="10"/>
        <v>31.8</v>
      </c>
      <c r="H40" s="1239">
        <v>57</v>
      </c>
      <c r="I40" s="1244">
        <f t="shared" si="17"/>
        <v>0.03</v>
      </c>
      <c r="J40" s="1246">
        <v>25</v>
      </c>
      <c r="K40" s="1244">
        <f t="shared" si="11"/>
        <v>0.01</v>
      </c>
      <c r="L40" s="1246">
        <v>6</v>
      </c>
      <c r="M40" s="1244" t="str">
        <f t="shared" si="12"/>
        <v>-</v>
      </c>
      <c r="N40" s="1246" t="s">
        <v>1229</v>
      </c>
      <c r="O40" s="1244" t="str">
        <f t="shared" si="13"/>
        <v>-</v>
      </c>
      <c r="P40" s="1246">
        <v>89</v>
      </c>
      <c r="Q40" s="1244">
        <f t="shared" si="14"/>
        <v>0.04</v>
      </c>
      <c r="R40" s="1239">
        <f t="shared" si="15"/>
        <v>221695</v>
      </c>
      <c r="S40" s="906">
        <f t="shared" si="16"/>
        <v>100.00000000000001</v>
      </c>
    </row>
    <row r="41" spans="1:19" ht="18" customHeight="1">
      <c r="A41" s="2046"/>
      <c r="B41" s="2262"/>
      <c r="C41" s="457">
        <v>1991</v>
      </c>
      <c r="D41" s="379">
        <v>141699</v>
      </c>
      <c r="E41" s="1247">
        <f t="shared" si="9"/>
        <v>71.39</v>
      </c>
      <c r="F41" s="379">
        <v>56620</v>
      </c>
      <c r="G41" s="1247">
        <f t="shared" si="10"/>
        <v>28.53</v>
      </c>
      <c r="H41" s="379">
        <v>55</v>
      </c>
      <c r="I41" s="1247">
        <f t="shared" si="17"/>
        <v>0.03</v>
      </c>
      <c r="J41" s="380">
        <v>111</v>
      </c>
      <c r="K41" s="1247">
        <f>IF(J41="-","-",IF(ROUND(J41/$R41*100,2)-0.01=0,"-",ROUND(J41/$R41*100,2)-0.01))</f>
        <v>4.9999999999999996E-2</v>
      </c>
      <c r="L41" s="380">
        <v>3</v>
      </c>
      <c r="M41" s="1247" t="str">
        <f t="shared" si="12"/>
        <v>-</v>
      </c>
      <c r="N41" s="380" t="s">
        <v>1229</v>
      </c>
      <c r="O41" s="1247" t="str">
        <f t="shared" si="13"/>
        <v>-</v>
      </c>
      <c r="P41" s="380">
        <v>3</v>
      </c>
      <c r="Q41" s="1247" t="str">
        <f t="shared" si="14"/>
        <v>-</v>
      </c>
      <c r="R41" s="379">
        <f t="shared" si="15"/>
        <v>198491</v>
      </c>
      <c r="S41" s="381">
        <f t="shared" si="16"/>
        <v>100</v>
      </c>
    </row>
    <row r="42" spans="1:19" ht="18" customHeight="1">
      <c r="A42" s="2045">
        <v>16</v>
      </c>
      <c r="B42" s="2270" t="s">
        <v>208</v>
      </c>
      <c r="C42" s="1241">
        <v>2001</v>
      </c>
      <c r="D42" s="1239">
        <v>172868</v>
      </c>
      <c r="E42" s="1244">
        <f t="shared" si="9"/>
        <v>57.89</v>
      </c>
      <c r="F42" s="1239">
        <v>125431</v>
      </c>
      <c r="G42" s="1244">
        <f t="shared" si="10"/>
        <v>42.01</v>
      </c>
      <c r="H42" s="1239">
        <v>83</v>
      </c>
      <c r="I42" s="1244">
        <f t="shared" si="17"/>
        <v>0.03</v>
      </c>
      <c r="J42" s="1246">
        <v>44</v>
      </c>
      <c r="K42" s="1244">
        <f t="shared" si="11"/>
        <v>0.01</v>
      </c>
      <c r="L42" s="1246">
        <v>5</v>
      </c>
      <c r="M42" s="1244" t="str">
        <f t="shared" si="12"/>
        <v>-</v>
      </c>
      <c r="N42" s="1246">
        <v>1</v>
      </c>
      <c r="O42" s="1244" t="str">
        <f t="shared" si="13"/>
        <v>-</v>
      </c>
      <c r="P42" s="1246">
        <v>167</v>
      </c>
      <c r="Q42" s="1244">
        <f t="shared" si="14"/>
        <v>0.06</v>
      </c>
      <c r="R42" s="1239">
        <f t="shared" si="15"/>
        <v>298599</v>
      </c>
      <c r="S42" s="906">
        <f t="shared" si="16"/>
        <v>100.00000000000001</v>
      </c>
    </row>
    <row r="43" spans="1:19" ht="18" customHeight="1">
      <c r="A43" s="2046"/>
      <c r="B43" s="2262"/>
      <c r="C43" s="457">
        <v>1991</v>
      </c>
      <c r="D43" s="379">
        <v>157538</v>
      </c>
      <c r="E43" s="1247">
        <f t="shared" si="9"/>
        <v>60.98</v>
      </c>
      <c r="F43" s="379">
        <v>99594</v>
      </c>
      <c r="G43" s="1247">
        <f t="shared" si="10"/>
        <v>38.549999999999997</v>
      </c>
      <c r="H43" s="379">
        <v>183</v>
      </c>
      <c r="I43" s="1247">
        <f t="shared" si="17"/>
        <v>7.0000000000000007E-2</v>
      </c>
      <c r="J43" s="380">
        <v>63</v>
      </c>
      <c r="K43" s="1247">
        <f>IF(J43="-","-",IF(ROUND(J43/$R43*100,2)+0.01=0,"-",ROUND(J43/$R43*100,2)+0.01))</f>
        <v>0.03</v>
      </c>
      <c r="L43" s="380" t="s">
        <v>1229</v>
      </c>
      <c r="M43" s="1247" t="str">
        <f t="shared" si="12"/>
        <v>-</v>
      </c>
      <c r="N43" s="380">
        <v>2</v>
      </c>
      <c r="O43" s="1247" t="str">
        <f t="shared" si="13"/>
        <v>-</v>
      </c>
      <c r="P43" s="380">
        <v>955</v>
      </c>
      <c r="Q43" s="1247">
        <f t="shared" si="14"/>
        <v>0.37</v>
      </c>
      <c r="R43" s="379">
        <f t="shared" si="15"/>
        <v>258335</v>
      </c>
      <c r="S43" s="381">
        <f t="shared" si="16"/>
        <v>100</v>
      </c>
    </row>
    <row r="44" spans="1:19" ht="18" customHeight="1">
      <c r="A44" s="2045">
        <v>17</v>
      </c>
      <c r="B44" s="2261" t="s">
        <v>1205</v>
      </c>
      <c r="C44" s="1241">
        <v>2001</v>
      </c>
      <c r="D44" s="1239">
        <v>201752</v>
      </c>
      <c r="E44" s="1244">
        <f t="shared" si="9"/>
        <v>84.3</v>
      </c>
      <c r="F44" s="1239">
        <v>37337</v>
      </c>
      <c r="G44" s="1244">
        <f t="shared" si="10"/>
        <v>15.6</v>
      </c>
      <c r="H44" s="1239">
        <v>101</v>
      </c>
      <c r="I44" s="1244">
        <f t="shared" si="17"/>
        <v>0.04</v>
      </c>
      <c r="J44" s="1246">
        <v>7</v>
      </c>
      <c r="K44" s="1244" t="str">
        <f t="shared" si="11"/>
        <v>-</v>
      </c>
      <c r="L44" s="1246">
        <v>3</v>
      </c>
      <c r="M44" s="1244" t="str">
        <f t="shared" si="12"/>
        <v>-</v>
      </c>
      <c r="N44" s="1246" t="s">
        <v>1229</v>
      </c>
      <c r="O44" s="1244" t="str">
        <f t="shared" si="13"/>
        <v>-</v>
      </c>
      <c r="P44" s="1246">
        <v>126</v>
      </c>
      <c r="Q44" s="1244">
        <f>IF(P44="-","-",IF(ROUND(P44/$R44*100,2)+0.01=0,"-",ROUND(P44/$R44*100,2)+0.01))</f>
        <v>6.0000000000000005E-2</v>
      </c>
      <c r="R44" s="1239">
        <f t="shared" si="15"/>
        <v>239326</v>
      </c>
      <c r="S44" s="906">
        <f t="shared" si="16"/>
        <v>100</v>
      </c>
    </row>
    <row r="45" spans="1:19" ht="18" customHeight="1">
      <c r="A45" s="2046"/>
      <c r="B45" s="2262"/>
      <c r="C45" s="457">
        <v>1991</v>
      </c>
      <c r="D45" s="379">
        <v>165235</v>
      </c>
      <c r="E45" s="1247">
        <f t="shared" si="9"/>
        <v>86.93</v>
      </c>
      <c r="F45" s="379">
        <v>24637</v>
      </c>
      <c r="G45" s="1247">
        <f t="shared" si="10"/>
        <v>12.96</v>
      </c>
      <c r="H45" s="379">
        <v>101</v>
      </c>
      <c r="I45" s="1247">
        <f t="shared" si="17"/>
        <v>0.05</v>
      </c>
      <c r="J45" s="380">
        <v>4</v>
      </c>
      <c r="K45" s="1247" t="str">
        <f t="shared" si="11"/>
        <v>-</v>
      </c>
      <c r="L45" s="380">
        <v>10</v>
      </c>
      <c r="M45" s="1247">
        <f t="shared" si="12"/>
        <v>0.01</v>
      </c>
      <c r="N45" s="380" t="s">
        <v>1229</v>
      </c>
      <c r="O45" s="1247" t="str">
        <f t="shared" si="13"/>
        <v>-</v>
      </c>
      <c r="P45" s="380">
        <v>101</v>
      </c>
      <c r="Q45" s="1247">
        <f t="shared" si="14"/>
        <v>0.05</v>
      </c>
      <c r="R45" s="379">
        <f t="shared" si="15"/>
        <v>190088</v>
      </c>
      <c r="S45" s="381">
        <f t="shared" si="16"/>
        <v>100.00000000000001</v>
      </c>
    </row>
    <row r="46" spans="1:19" ht="18" customHeight="1">
      <c r="A46" s="2045">
        <v>18</v>
      </c>
      <c r="B46" s="2261" t="s">
        <v>1206</v>
      </c>
      <c r="C46" s="1241">
        <v>2001</v>
      </c>
      <c r="D46" s="1239">
        <v>140114</v>
      </c>
      <c r="E46" s="1244">
        <f t="shared" si="9"/>
        <v>87.23</v>
      </c>
      <c r="F46" s="1239">
        <v>20413</v>
      </c>
      <c r="G46" s="1244">
        <f t="shared" si="10"/>
        <v>12.71</v>
      </c>
      <c r="H46" s="1239">
        <v>3</v>
      </c>
      <c r="I46" s="1244" t="str">
        <f t="shared" si="17"/>
        <v>-</v>
      </c>
      <c r="J46" s="1246">
        <v>7</v>
      </c>
      <c r="K46" s="1244" t="str">
        <f t="shared" si="11"/>
        <v>-</v>
      </c>
      <c r="L46" s="1246" t="s">
        <v>1229</v>
      </c>
      <c r="M46" s="1244" t="str">
        <f t="shared" si="12"/>
        <v>-</v>
      </c>
      <c r="N46" s="1246" t="s">
        <v>1229</v>
      </c>
      <c r="O46" s="1244" t="str">
        <f t="shared" si="13"/>
        <v>-</v>
      </c>
      <c r="P46" s="1246">
        <v>90</v>
      </c>
      <c r="Q46" s="1244">
        <f t="shared" si="14"/>
        <v>0.06</v>
      </c>
      <c r="R46" s="1239">
        <f t="shared" si="15"/>
        <v>160627</v>
      </c>
      <c r="S46" s="906">
        <f t="shared" si="16"/>
        <v>100</v>
      </c>
    </row>
    <row r="47" spans="1:19" ht="18" customHeight="1">
      <c r="A47" s="2046"/>
      <c r="B47" s="2262"/>
      <c r="C47" s="457">
        <v>1991</v>
      </c>
      <c r="D47" s="379">
        <v>115932</v>
      </c>
      <c r="E47" s="1247">
        <f t="shared" si="9"/>
        <v>86.29</v>
      </c>
      <c r="F47" s="379">
        <v>18404</v>
      </c>
      <c r="G47" s="1247">
        <f t="shared" si="10"/>
        <v>13.7</v>
      </c>
      <c r="H47" s="379">
        <v>17</v>
      </c>
      <c r="I47" s="1247">
        <f t="shared" si="17"/>
        <v>0.01</v>
      </c>
      <c r="J47" s="380" t="s">
        <v>1229</v>
      </c>
      <c r="K47" s="1247" t="str">
        <f t="shared" si="11"/>
        <v>-</v>
      </c>
      <c r="L47" s="380" t="s">
        <v>1229</v>
      </c>
      <c r="M47" s="1247" t="str">
        <f t="shared" si="12"/>
        <v>-</v>
      </c>
      <c r="N47" s="380" t="s">
        <v>1229</v>
      </c>
      <c r="O47" s="1247" t="str">
        <f t="shared" si="13"/>
        <v>-</v>
      </c>
      <c r="P47" s="380">
        <v>1</v>
      </c>
      <c r="Q47" s="1247" t="str">
        <f t="shared" si="14"/>
        <v>-</v>
      </c>
      <c r="R47" s="379">
        <f t="shared" si="15"/>
        <v>134354</v>
      </c>
      <c r="S47" s="381">
        <f t="shared" si="16"/>
        <v>100.00000000000001</v>
      </c>
    </row>
    <row r="48" spans="1:19" ht="18" customHeight="1">
      <c r="A48" s="2045">
        <v>19</v>
      </c>
      <c r="B48" s="2261" t="s">
        <v>1207</v>
      </c>
      <c r="C48" s="1241">
        <v>2001</v>
      </c>
      <c r="D48" s="1239">
        <v>165145</v>
      </c>
      <c r="E48" s="1244">
        <f t="shared" si="9"/>
        <v>88.96</v>
      </c>
      <c r="F48" s="1239">
        <v>20255</v>
      </c>
      <c r="G48" s="1244">
        <f t="shared" si="10"/>
        <v>10.91</v>
      </c>
      <c r="H48" s="1239">
        <v>9</v>
      </c>
      <c r="I48" s="1244" t="str">
        <f t="shared" si="17"/>
        <v>-</v>
      </c>
      <c r="J48" s="1246">
        <v>1</v>
      </c>
      <c r="K48" s="1244" t="str">
        <f t="shared" si="11"/>
        <v>-</v>
      </c>
      <c r="L48" s="1246">
        <v>17</v>
      </c>
      <c r="M48" s="1244">
        <f t="shared" si="12"/>
        <v>0.01</v>
      </c>
      <c r="N48" s="1246">
        <v>1</v>
      </c>
      <c r="O48" s="1244" t="str">
        <f t="shared" si="13"/>
        <v>-</v>
      </c>
      <c r="P48" s="1246">
        <v>216</v>
      </c>
      <c r="Q48" s="1244">
        <f t="shared" si="14"/>
        <v>0.12</v>
      </c>
      <c r="R48" s="1239">
        <f t="shared" si="15"/>
        <v>185644</v>
      </c>
      <c r="S48" s="906">
        <f t="shared" si="16"/>
        <v>100</v>
      </c>
    </row>
    <row r="49" spans="1:19" ht="18" customHeight="1">
      <c r="A49" s="2046"/>
      <c r="B49" s="2262"/>
      <c r="C49" s="457">
        <v>1991</v>
      </c>
      <c r="D49" s="379">
        <v>138993</v>
      </c>
      <c r="E49" s="1247">
        <f t="shared" si="9"/>
        <v>90.14</v>
      </c>
      <c r="F49" s="379">
        <v>15209</v>
      </c>
      <c r="G49" s="1247">
        <f t="shared" si="10"/>
        <v>9.86</v>
      </c>
      <c r="H49" s="379" t="s">
        <v>1229</v>
      </c>
      <c r="I49" s="1247" t="str">
        <f t="shared" si="17"/>
        <v>-</v>
      </c>
      <c r="J49" s="380" t="s">
        <v>1229</v>
      </c>
      <c r="K49" s="1247" t="str">
        <f t="shared" si="11"/>
        <v>-</v>
      </c>
      <c r="L49" s="380" t="s">
        <v>1229</v>
      </c>
      <c r="M49" s="1247" t="str">
        <f t="shared" si="12"/>
        <v>-</v>
      </c>
      <c r="N49" s="380" t="s">
        <v>1229</v>
      </c>
      <c r="O49" s="1247" t="str">
        <f t="shared" si="13"/>
        <v>-</v>
      </c>
      <c r="P49" s="380" t="s">
        <v>1229</v>
      </c>
      <c r="Q49" s="1247" t="str">
        <f t="shared" si="14"/>
        <v>-</v>
      </c>
      <c r="R49" s="379">
        <f t="shared" si="15"/>
        <v>154202</v>
      </c>
      <c r="S49" s="381">
        <f t="shared" si="16"/>
        <v>100</v>
      </c>
    </row>
    <row r="50" spans="1:19" ht="18" customHeight="1">
      <c r="A50" s="2045">
        <v>20</v>
      </c>
      <c r="B50" s="2270" t="s">
        <v>209</v>
      </c>
      <c r="C50" s="1241">
        <v>2001</v>
      </c>
      <c r="D50" s="1239">
        <v>269281</v>
      </c>
      <c r="E50" s="1244">
        <f t="shared" si="9"/>
        <v>74.2</v>
      </c>
      <c r="F50" s="1239">
        <v>88240</v>
      </c>
      <c r="G50" s="1244">
        <f t="shared" si="10"/>
        <v>24.31</v>
      </c>
      <c r="H50" s="1239">
        <v>5232</v>
      </c>
      <c r="I50" s="1244">
        <f t="shared" si="17"/>
        <v>1.44</v>
      </c>
      <c r="J50" s="1246">
        <v>21</v>
      </c>
      <c r="K50" s="1244">
        <f t="shared" si="11"/>
        <v>0.01</v>
      </c>
      <c r="L50" s="1246">
        <v>3</v>
      </c>
      <c r="M50" s="1244" t="str">
        <f t="shared" si="12"/>
        <v>-</v>
      </c>
      <c r="N50" s="1246">
        <v>6</v>
      </c>
      <c r="O50" s="1244" t="str">
        <f t="shared" si="13"/>
        <v>-</v>
      </c>
      <c r="P50" s="1246">
        <v>148</v>
      </c>
      <c r="Q50" s="1244">
        <f t="shared" si="14"/>
        <v>0.04</v>
      </c>
      <c r="R50" s="1239">
        <f t="shared" si="15"/>
        <v>362931</v>
      </c>
      <c r="S50" s="906">
        <f t="shared" si="16"/>
        <v>100.00000000000001</v>
      </c>
    </row>
    <row r="51" spans="1:19" ht="18" customHeight="1">
      <c r="A51" s="2046"/>
      <c r="B51" s="2262"/>
      <c r="C51" s="457">
        <v>1991</v>
      </c>
      <c r="D51" s="379">
        <v>243766</v>
      </c>
      <c r="E51" s="1247">
        <f t="shared" si="9"/>
        <v>77.42</v>
      </c>
      <c r="F51" s="379">
        <v>66635</v>
      </c>
      <c r="G51" s="1247">
        <f t="shared" si="10"/>
        <v>21.16</v>
      </c>
      <c r="H51" s="379">
        <v>4469</v>
      </c>
      <c r="I51" s="1247">
        <f t="shared" si="17"/>
        <v>1.42</v>
      </c>
      <c r="J51" s="380" t="s">
        <v>1229</v>
      </c>
      <c r="K51" s="1247" t="str">
        <f t="shared" si="11"/>
        <v>-</v>
      </c>
      <c r="L51" s="380" t="s">
        <v>1229</v>
      </c>
      <c r="M51" s="1247" t="str">
        <f t="shared" si="12"/>
        <v>-</v>
      </c>
      <c r="N51" s="380" t="s">
        <v>1229</v>
      </c>
      <c r="O51" s="1247" t="str">
        <f t="shared" si="13"/>
        <v>-</v>
      </c>
      <c r="P51" s="380" t="s">
        <v>1229</v>
      </c>
      <c r="Q51" s="1247" t="str">
        <f t="shared" si="14"/>
        <v>-</v>
      </c>
      <c r="R51" s="379">
        <f t="shared" si="15"/>
        <v>314870</v>
      </c>
      <c r="S51" s="381">
        <f t="shared" si="16"/>
        <v>100</v>
      </c>
    </row>
    <row r="52" spans="1:19" ht="18" customHeight="1">
      <c r="A52" s="2271">
        <v>21</v>
      </c>
      <c r="B52" s="2272" t="s">
        <v>1208</v>
      </c>
      <c r="C52" s="1241">
        <v>2001</v>
      </c>
      <c r="D52" s="395">
        <v>260784</v>
      </c>
      <c r="E52" s="1248">
        <f t="shared" si="9"/>
        <v>90.43</v>
      </c>
      <c r="F52" s="395">
        <v>26853</v>
      </c>
      <c r="G52" s="1249">
        <f t="shared" si="10"/>
        <v>9.31</v>
      </c>
      <c r="H52" s="395">
        <v>571</v>
      </c>
      <c r="I52" s="1249">
        <f t="shared" si="17"/>
        <v>0.2</v>
      </c>
      <c r="J52" s="373">
        <v>33</v>
      </c>
      <c r="K52" s="1249">
        <f t="shared" si="11"/>
        <v>0.01</v>
      </c>
      <c r="L52" s="393">
        <v>16</v>
      </c>
      <c r="M52" s="1249" t="str">
        <f>IF(L52="-","-",IF(ROUND(L52/$R52*100,2)-0.01=0,"-",ROUND(L52/$R52*100,2)-0.01))</f>
        <v>-</v>
      </c>
      <c r="N52" s="373">
        <v>2</v>
      </c>
      <c r="O52" s="1248" t="str">
        <f t="shared" si="13"/>
        <v>-</v>
      </c>
      <c r="P52" s="393">
        <v>135</v>
      </c>
      <c r="Q52" s="1249">
        <f t="shared" si="14"/>
        <v>0.05</v>
      </c>
      <c r="R52" s="395">
        <f t="shared" si="15"/>
        <v>288394</v>
      </c>
      <c r="S52" s="371">
        <f t="shared" si="16"/>
        <v>100.00000000000001</v>
      </c>
    </row>
    <row r="53" spans="1:19" ht="18" customHeight="1">
      <c r="A53" s="2046"/>
      <c r="B53" s="2262"/>
      <c r="C53" s="602">
        <v>1991</v>
      </c>
      <c r="D53" s="640">
        <v>225027</v>
      </c>
      <c r="E53" s="1247">
        <f t="shared" si="9"/>
        <v>91.62</v>
      </c>
      <c r="F53" s="640">
        <v>20150</v>
      </c>
      <c r="G53" s="1250">
        <f t="shared" si="10"/>
        <v>8.1999999999999993</v>
      </c>
      <c r="H53" s="640">
        <v>399</v>
      </c>
      <c r="I53" s="1250">
        <f t="shared" si="17"/>
        <v>0.16</v>
      </c>
      <c r="J53" s="382" t="s">
        <v>1229</v>
      </c>
      <c r="K53" s="1250" t="str">
        <f t="shared" si="11"/>
        <v>-</v>
      </c>
      <c r="L53" s="441" t="s">
        <v>1229</v>
      </c>
      <c r="M53" s="1250" t="str">
        <f t="shared" si="12"/>
        <v>-</v>
      </c>
      <c r="N53" s="382" t="s">
        <v>1229</v>
      </c>
      <c r="O53" s="1247" t="str">
        <f t="shared" si="13"/>
        <v>-</v>
      </c>
      <c r="P53" s="441">
        <v>25</v>
      </c>
      <c r="Q53" s="1250">
        <f>IF(P53="-","-",IF(ROUND(P53/$R53*100,2)+0.01=0,"-",ROUND(P53/$R53*100,2)+0.01))</f>
        <v>0.02</v>
      </c>
      <c r="R53" s="640">
        <f t="shared" si="15"/>
        <v>245601</v>
      </c>
      <c r="S53" s="381">
        <f t="shared" si="16"/>
        <v>100</v>
      </c>
    </row>
    <row r="54" spans="1:19">
      <c r="A54" s="99"/>
      <c r="B54" s="12"/>
      <c r="C54" s="12"/>
      <c r="D54" s="12"/>
      <c r="E54" s="12"/>
      <c r="F54" s="12"/>
      <c r="G54" s="12"/>
      <c r="H54" s="12"/>
      <c r="I54" s="12"/>
      <c r="J54" s="12"/>
      <c r="K54" s="12"/>
      <c r="L54" s="12"/>
      <c r="M54" s="12"/>
      <c r="N54" s="12"/>
      <c r="O54" s="12"/>
      <c r="P54" s="96"/>
      <c r="Q54" s="116"/>
      <c r="R54" s="116"/>
      <c r="S54" s="1134" t="s">
        <v>83</v>
      </c>
    </row>
    <row r="55" spans="1:19">
      <c r="A55" s="10"/>
      <c r="B55" s="10"/>
      <c r="C55" s="10"/>
      <c r="D55" s="10"/>
      <c r="E55" s="10"/>
      <c r="F55" s="10"/>
      <c r="G55" s="10"/>
      <c r="H55" s="10"/>
      <c r="I55" s="10"/>
      <c r="J55" s="10"/>
      <c r="K55" s="10"/>
      <c r="L55" s="10"/>
      <c r="M55" s="10"/>
      <c r="N55" s="10"/>
      <c r="O55" s="10"/>
      <c r="P55" s="96"/>
      <c r="Q55" s="96"/>
      <c r="R55" s="96"/>
      <c r="S55" s="96"/>
    </row>
  </sheetData>
  <mergeCells count="67">
    <mergeCell ref="A52:A53"/>
    <mergeCell ref="B52:B53"/>
    <mergeCell ref="A48:A49"/>
    <mergeCell ref="B48:B49"/>
    <mergeCell ref="A50:A51"/>
    <mergeCell ref="B50:B51"/>
    <mergeCell ref="A44:A45"/>
    <mergeCell ref="B44:B45"/>
    <mergeCell ref="A46:A47"/>
    <mergeCell ref="B46:B47"/>
    <mergeCell ref="A40:A41"/>
    <mergeCell ref="B40:B41"/>
    <mergeCell ref="A42:A43"/>
    <mergeCell ref="B42:B43"/>
    <mergeCell ref="A36:A37"/>
    <mergeCell ref="B36:B37"/>
    <mergeCell ref="A38:A39"/>
    <mergeCell ref="B38:B39"/>
    <mergeCell ref="P31:Q31"/>
    <mergeCell ref="A34:A35"/>
    <mergeCell ref="B34:B35"/>
    <mergeCell ref="A30:S30"/>
    <mergeCell ref="A31:A32"/>
    <mergeCell ref="B31:B32"/>
    <mergeCell ref="C31:C32"/>
    <mergeCell ref="D31:E31"/>
    <mergeCell ref="F31:G31"/>
    <mergeCell ref="H31:I31"/>
    <mergeCell ref="J31:K31"/>
    <mergeCell ref="L31:M31"/>
    <mergeCell ref="N31:O31"/>
    <mergeCell ref="R31:S31"/>
    <mergeCell ref="A24:A25"/>
    <mergeCell ref="B24:B25"/>
    <mergeCell ref="A26:A27"/>
    <mergeCell ref="B26:B27"/>
    <mergeCell ref="A20:A21"/>
    <mergeCell ref="B20:B21"/>
    <mergeCell ref="A22:A23"/>
    <mergeCell ref="B22:B23"/>
    <mergeCell ref="A16:A17"/>
    <mergeCell ref="B16:B17"/>
    <mergeCell ref="A18:A19"/>
    <mergeCell ref="B18:B19"/>
    <mergeCell ref="A12:A13"/>
    <mergeCell ref="B12:B13"/>
    <mergeCell ref="A14:A15"/>
    <mergeCell ref="B14:B15"/>
    <mergeCell ref="A8:A9"/>
    <mergeCell ref="B8:B9"/>
    <mergeCell ref="A10:A11"/>
    <mergeCell ref="B10:B11"/>
    <mergeCell ref="N3:O3"/>
    <mergeCell ref="H3:I3"/>
    <mergeCell ref="J3:K3"/>
    <mergeCell ref="L3:M3"/>
    <mergeCell ref="R3:S3"/>
    <mergeCell ref="A6:A7"/>
    <mergeCell ref="B6:B7"/>
    <mergeCell ref="A1:S1"/>
    <mergeCell ref="A2:S2"/>
    <mergeCell ref="A3:A4"/>
    <mergeCell ref="B3:B4"/>
    <mergeCell ref="C3:C4"/>
    <mergeCell ref="D3:E3"/>
    <mergeCell ref="F3:G3"/>
    <mergeCell ref="P3:Q3"/>
  </mergeCells>
  <phoneticPr fontId="0" type="noConversion"/>
  <printOptions horizontalCentered="1"/>
  <pageMargins left="0.18" right="0.25" top="0.67" bottom="0.5" header="0.23" footer="0.5"/>
  <pageSetup paperSize="9" orientation="landscape" blackAndWhite="1" r:id="rId1"/>
  <headerFooter alignWithMargins="0"/>
  <rowBreaks count="1" manualBreakCount="1">
    <brk id="28" max="16383" man="1"/>
  </rowBreaks>
</worksheet>
</file>

<file path=xl/worksheets/sheet78.xml><?xml version="1.0" encoding="utf-8"?>
<worksheet xmlns="http://schemas.openxmlformats.org/spreadsheetml/2006/main" xmlns:r="http://schemas.openxmlformats.org/officeDocument/2006/relationships">
  <dimension ref="A1:I49"/>
  <sheetViews>
    <sheetView topLeftCell="A4" workbookViewId="0">
      <selection activeCell="O25" sqref="O25"/>
    </sheetView>
  </sheetViews>
  <sheetFormatPr defaultRowHeight="12.75"/>
  <cols>
    <col min="1" max="1" width="3.7109375" customWidth="1"/>
    <col min="2" max="2" width="21.85546875" customWidth="1"/>
    <col min="3" max="3" width="10.140625" customWidth="1"/>
    <col min="4" max="4" width="10" customWidth="1"/>
    <col min="6" max="6" width="12.42578125" customWidth="1"/>
    <col min="7" max="7" width="16.140625" customWidth="1"/>
  </cols>
  <sheetData>
    <row r="1" spans="1:9" ht="16.5" customHeight="1">
      <c r="A1" s="1739" t="s">
        <v>823</v>
      </c>
      <c r="B1" s="1739"/>
      <c r="C1" s="1739"/>
      <c r="D1" s="1739"/>
      <c r="E1" s="1739"/>
      <c r="F1" s="1739"/>
      <c r="G1" s="1739"/>
    </row>
    <row r="2" spans="1:9" ht="30.75" customHeight="1">
      <c r="A2" s="1730" t="str">
        <f>CONCATENATE("Persons Engaged in Agriculture in the Blocks of
 ",District!$A$1, " for the year ",District!F3)</f>
        <v>Persons Engaged in Agriculture in the Blocks of
 South 24-Parganas for the year 2013-14</v>
      </c>
      <c r="B2" s="1730"/>
      <c r="C2" s="1730"/>
      <c r="D2" s="1730"/>
      <c r="E2" s="1730"/>
      <c r="F2" s="1730"/>
      <c r="G2" s="1730"/>
      <c r="H2" s="5"/>
    </row>
    <row r="3" spans="1:9" ht="12" customHeight="1">
      <c r="B3" s="93"/>
      <c r="C3" s="3"/>
      <c r="D3" s="3"/>
      <c r="E3" s="3"/>
      <c r="F3" s="3"/>
      <c r="G3" s="95" t="s">
        <v>236</v>
      </c>
    </row>
    <row r="4" spans="1:9" ht="16.5" customHeight="1">
      <c r="A4" s="260" t="s">
        <v>237</v>
      </c>
      <c r="B4" s="1737" t="s">
        <v>1308</v>
      </c>
      <c r="C4" s="2183" t="s">
        <v>241</v>
      </c>
      <c r="D4" s="2275" t="s">
        <v>1861</v>
      </c>
      <c r="E4" s="458" t="s">
        <v>1357</v>
      </c>
      <c r="F4" s="347" t="s">
        <v>1356</v>
      </c>
      <c r="G4" s="462" t="s">
        <v>1762</v>
      </c>
    </row>
    <row r="5" spans="1:9" ht="16.5" customHeight="1">
      <c r="A5" s="454" t="s">
        <v>979</v>
      </c>
      <c r="B5" s="1735"/>
      <c r="C5" s="2179"/>
      <c r="D5" s="2276"/>
      <c r="E5" s="535" t="s">
        <v>242</v>
      </c>
      <c r="F5" s="348" t="s">
        <v>242</v>
      </c>
      <c r="G5" s="162" t="s">
        <v>1483</v>
      </c>
    </row>
    <row r="6" spans="1:9" ht="16.5" customHeight="1">
      <c r="A6" s="199" t="s">
        <v>928</v>
      </c>
      <c r="B6" s="120" t="s">
        <v>929</v>
      </c>
      <c r="C6" s="119" t="s">
        <v>930</v>
      </c>
      <c r="D6" s="199" t="s">
        <v>931</v>
      </c>
      <c r="E6" s="119" t="s">
        <v>932</v>
      </c>
      <c r="F6" s="199" t="s">
        <v>933</v>
      </c>
      <c r="G6" s="120" t="s">
        <v>934</v>
      </c>
      <c r="I6" s="70"/>
    </row>
    <row r="7" spans="1:9" ht="19.5" customHeight="1">
      <c r="A7" s="448">
        <v>1</v>
      </c>
      <c r="B7" s="501" t="s">
        <v>757</v>
      </c>
      <c r="C7" s="1571" t="s">
        <v>857</v>
      </c>
      <c r="D7" s="77">
        <v>47</v>
      </c>
      <c r="E7" s="39">
        <v>89</v>
      </c>
      <c r="F7" s="77">
        <v>2381</v>
      </c>
      <c r="G7" s="296">
        <v>2894</v>
      </c>
      <c r="I7" s="90"/>
    </row>
    <row r="8" spans="1:9" ht="19.5" customHeight="1">
      <c r="A8" s="448">
        <f t="shared" ref="A8:A35" si="0">A7+1</f>
        <v>2</v>
      </c>
      <c r="B8" s="501" t="s">
        <v>1214</v>
      </c>
      <c r="C8" s="39">
        <v>520</v>
      </c>
      <c r="D8" s="77">
        <v>1574</v>
      </c>
      <c r="E8" s="39">
        <v>507</v>
      </c>
      <c r="F8" s="77">
        <v>24606</v>
      </c>
      <c r="G8" s="77">
        <v>15687</v>
      </c>
      <c r="I8" s="90"/>
    </row>
    <row r="9" spans="1:9" ht="19.5" customHeight="1">
      <c r="A9" s="448">
        <f t="shared" si="0"/>
        <v>3</v>
      </c>
      <c r="B9" s="501" t="s">
        <v>1211</v>
      </c>
      <c r="C9" s="39">
        <v>1044</v>
      </c>
      <c r="D9" s="77">
        <v>522</v>
      </c>
      <c r="E9" s="39">
        <v>507</v>
      </c>
      <c r="F9" s="77">
        <v>5466</v>
      </c>
      <c r="G9" s="77">
        <v>10297</v>
      </c>
      <c r="I9" s="90"/>
    </row>
    <row r="10" spans="1:9" ht="19.5" customHeight="1">
      <c r="A10" s="448">
        <f t="shared" si="0"/>
        <v>4</v>
      </c>
      <c r="B10" s="501" t="s">
        <v>1212</v>
      </c>
      <c r="C10" s="39">
        <v>451</v>
      </c>
      <c r="D10" s="77">
        <v>76</v>
      </c>
      <c r="E10" s="39" t="s">
        <v>1229</v>
      </c>
      <c r="F10" s="77">
        <v>1662</v>
      </c>
      <c r="G10" s="77">
        <v>4762</v>
      </c>
      <c r="I10" s="90"/>
    </row>
    <row r="11" spans="1:9" ht="19.5" customHeight="1">
      <c r="A11" s="448">
        <f t="shared" si="0"/>
        <v>5</v>
      </c>
      <c r="B11" s="501" t="s">
        <v>1213</v>
      </c>
      <c r="C11" s="39">
        <v>1197</v>
      </c>
      <c r="D11" s="1573">
        <v>600</v>
      </c>
      <c r="E11" s="39">
        <v>1638</v>
      </c>
      <c r="F11" s="77">
        <v>10566</v>
      </c>
      <c r="G11" s="77">
        <v>16068</v>
      </c>
      <c r="I11" s="90"/>
    </row>
    <row r="12" spans="1:9" ht="19.5" customHeight="1">
      <c r="A12" s="448">
        <f t="shared" si="0"/>
        <v>6</v>
      </c>
      <c r="B12" s="501" t="s">
        <v>1218</v>
      </c>
      <c r="C12" s="39">
        <v>1183</v>
      </c>
      <c r="D12" s="1573">
        <v>3189</v>
      </c>
      <c r="E12" s="39">
        <v>2842</v>
      </c>
      <c r="F12" s="77">
        <v>21458</v>
      </c>
      <c r="G12" s="77">
        <v>10869</v>
      </c>
      <c r="I12" s="90"/>
    </row>
    <row r="13" spans="1:9" ht="19.5" customHeight="1">
      <c r="A13" s="448">
        <f t="shared" si="0"/>
        <v>7</v>
      </c>
      <c r="B13" s="501" t="s">
        <v>759</v>
      </c>
      <c r="C13" s="39">
        <v>2798</v>
      </c>
      <c r="D13" s="77">
        <v>2709</v>
      </c>
      <c r="E13" s="39">
        <v>2415</v>
      </c>
      <c r="F13" s="77">
        <v>14560</v>
      </c>
      <c r="G13" s="77">
        <v>22378</v>
      </c>
      <c r="I13" s="90"/>
    </row>
    <row r="14" spans="1:9" ht="19.5" customHeight="1">
      <c r="A14" s="448">
        <f t="shared" si="0"/>
        <v>8</v>
      </c>
      <c r="B14" s="501" t="s">
        <v>760</v>
      </c>
      <c r="C14" s="39">
        <v>1574</v>
      </c>
      <c r="D14" s="1605" t="s">
        <v>857</v>
      </c>
      <c r="E14" s="39">
        <v>1652</v>
      </c>
      <c r="F14" s="77">
        <v>10493</v>
      </c>
      <c r="G14" s="77">
        <v>33952</v>
      </c>
      <c r="I14" s="90"/>
    </row>
    <row r="15" spans="1:9" ht="19.5" customHeight="1">
      <c r="A15" s="448">
        <f t="shared" si="0"/>
        <v>9</v>
      </c>
      <c r="B15" s="501" t="s">
        <v>1194</v>
      </c>
      <c r="C15" s="39">
        <v>5441</v>
      </c>
      <c r="D15" s="1605" t="s">
        <v>857</v>
      </c>
      <c r="E15" s="39">
        <v>4555</v>
      </c>
      <c r="F15" s="77">
        <v>21174</v>
      </c>
      <c r="G15" s="77">
        <v>40177</v>
      </c>
      <c r="I15" s="90"/>
    </row>
    <row r="16" spans="1:9" ht="19.5" customHeight="1">
      <c r="A16" s="448">
        <f t="shared" si="0"/>
        <v>10</v>
      </c>
      <c r="B16" s="501" t="s">
        <v>1221</v>
      </c>
      <c r="C16" s="39">
        <v>8420</v>
      </c>
      <c r="D16" s="77">
        <v>4758</v>
      </c>
      <c r="E16" s="39">
        <v>2679</v>
      </c>
      <c r="F16" s="77">
        <v>21858</v>
      </c>
      <c r="G16" s="77">
        <v>34014</v>
      </c>
      <c r="I16" s="90"/>
    </row>
    <row r="17" spans="1:9" ht="19.5" customHeight="1">
      <c r="A17" s="448">
        <f t="shared" si="0"/>
        <v>11</v>
      </c>
      <c r="B17" s="501" t="s">
        <v>761</v>
      </c>
      <c r="C17" s="1571" t="s">
        <v>857</v>
      </c>
      <c r="D17" s="1573" t="s">
        <v>857</v>
      </c>
      <c r="E17" s="39">
        <v>3409</v>
      </c>
      <c r="F17" s="77">
        <v>21708</v>
      </c>
      <c r="G17" s="77">
        <v>24173</v>
      </c>
      <c r="I17" s="90"/>
    </row>
    <row r="18" spans="1:9" ht="19.5" customHeight="1">
      <c r="A18" s="448">
        <f t="shared" si="0"/>
        <v>12</v>
      </c>
      <c r="B18" s="501" t="s">
        <v>762</v>
      </c>
      <c r="C18" s="39">
        <v>8461</v>
      </c>
      <c r="D18" s="77">
        <v>3455</v>
      </c>
      <c r="E18" s="39">
        <v>2724</v>
      </c>
      <c r="F18" s="77">
        <v>21949</v>
      </c>
      <c r="G18" s="77">
        <v>22858</v>
      </c>
      <c r="I18" s="90"/>
    </row>
    <row r="19" spans="1:9" ht="19.5" customHeight="1">
      <c r="A19" s="448">
        <f t="shared" si="0"/>
        <v>13</v>
      </c>
      <c r="B19" s="501" t="s">
        <v>1223</v>
      </c>
      <c r="C19" s="39">
        <v>5564</v>
      </c>
      <c r="D19" s="1605" t="s">
        <v>857</v>
      </c>
      <c r="E19" s="39">
        <v>5576</v>
      </c>
      <c r="F19" s="77">
        <v>25376</v>
      </c>
      <c r="G19" s="77">
        <v>24571</v>
      </c>
      <c r="I19" s="90"/>
    </row>
    <row r="20" spans="1:9" ht="19.5" customHeight="1">
      <c r="A20" s="448">
        <f t="shared" si="0"/>
        <v>14</v>
      </c>
      <c r="B20" s="501" t="s">
        <v>1224</v>
      </c>
      <c r="C20" s="39">
        <v>37</v>
      </c>
      <c r="D20" s="77">
        <v>13585</v>
      </c>
      <c r="E20" s="39">
        <v>4701</v>
      </c>
      <c r="F20" s="77">
        <v>26416</v>
      </c>
      <c r="G20" s="77">
        <v>47330</v>
      </c>
      <c r="I20" s="90"/>
    </row>
    <row r="21" spans="1:9" ht="19.5" customHeight="1">
      <c r="A21" s="448">
        <f t="shared" si="0"/>
        <v>15</v>
      </c>
      <c r="B21" s="501" t="s">
        <v>1197</v>
      </c>
      <c r="C21" s="39">
        <v>20197</v>
      </c>
      <c r="D21" s="77">
        <v>10135</v>
      </c>
      <c r="E21" s="39">
        <v>6580</v>
      </c>
      <c r="F21" s="77">
        <v>37584</v>
      </c>
      <c r="G21" s="77">
        <v>62102</v>
      </c>
      <c r="I21" s="90"/>
    </row>
    <row r="22" spans="1:9" ht="19.5" customHeight="1">
      <c r="A22" s="448">
        <f t="shared" si="0"/>
        <v>16</v>
      </c>
      <c r="B22" s="501" t="s">
        <v>1198</v>
      </c>
      <c r="C22" s="39">
        <v>1887</v>
      </c>
      <c r="D22" s="1605" t="s">
        <v>857</v>
      </c>
      <c r="E22" s="39">
        <v>5213</v>
      </c>
      <c r="F22" s="77">
        <v>29740</v>
      </c>
      <c r="G22" s="77">
        <v>60111</v>
      </c>
      <c r="I22" s="90"/>
    </row>
    <row r="23" spans="1:9" ht="19.5" customHeight="1">
      <c r="A23" s="448">
        <f t="shared" si="0"/>
        <v>17</v>
      </c>
      <c r="B23" s="501" t="s">
        <v>1225</v>
      </c>
      <c r="C23" s="39">
        <v>3078</v>
      </c>
      <c r="D23" s="1605" t="s">
        <v>857</v>
      </c>
      <c r="E23" s="39">
        <v>1709</v>
      </c>
      <c r="F23" s="77">
        <v>12834</v>
      </c>
      <c r="G23" s="77">
        <v>18284</v>
      </c>
      <c r="I23" s="90"/>
    </row>
    <row r="24" spans="1:9" ht="19.5" customHeight="1">
      <c r="A24" s="448">
        <f t="shared" si="0"/>
        <v>18</v>
      </c>
      <c r="B24" s="501" t="s">
        <v>1226</v>
      </c>
      <c r="C24" s="39">
        <v>2066</v>
      </c>
      <c r="D24" s="1605" t="s">
        <v>857</v>
      </c>
      <c r="E24" s="39">
        <v>1803</v>
      </c>
      <c r="F24" s="77">
        <v>21595</v>
      </c>
      <c r="G24" s="77">
        <v>21016</v>
      </c>
      <c r="I24" s="90"/>
    </row>
    <row r="25" spans="1:9" ht="19.5" customHeight="1">
      <c r="A25" s="448">
        <f t="shared" si="0"/>
        <v>19</v>
      </c>
      <c r="B25" s="501" t="s">
        <v>837</v>
      </c>
      <c r="C25" s="39">
        <v>1767</v>
      </c>
      <c r="D25" s="77">
        <v>2137</v>
      </c>
      <c r="E25" s="39">
        <v>634</v>
      </c>
      <c r="F25" s="77">
        <v>12613</v>
      </c>
      <c r="G25" s="77">
        <v>19406</v>
      </c>
      <c r="I25" s="90"/>
    </row>
    <row r="26" spans="1:9" ht="19.5" customHeight="1">
      <c r="A26" s="448">
        <f t="shared" si="0"/>
        <v>20</v>
      </c>
      <c r="B26" s="501" t="s">
        <v>1203</v>
      </c>
      <c r="C26" s="39">
        <v>7140</v>
      </c>
      <c r="D26" s="77">
        <v>3351</v>
      </c>
      <c r="E26" s="39">
        <v>1388</v>
      </c>
      <c r="F26" s="77">
        <v>15738</v>
      </c>
      <c r="G26" s="77">
        <v>35411</v>
      </c>
      <c r="I26" s="90"/>
    </row>
    <row r="27" spans="1:9" ht="19.5" customHeight="1">
      <c r="A27" s="448">
        <f t="shared" si="0"/>
        <v>21</v>
      </c>
      <c r="B27" s="501" t="s">
        <v>1204</v>
      </c>
      <c r="C27" s="39">
        <v>1496</v>
      </c>
      <c r="D27" s="77">
        <v>2272</v>
      </c>
      <c r="E27" s="39">
        <v>620</v>
      </c>
      <c r="F27" s="77">
        <v>21438</v>
      </c>
      <c r="G27" s="77">
        <v>24712</v>
      </c>
      <c r="I27" s="90"/>
    </row>
    <row r="28" spans="1:9" ht="19.5" customHeight="1">
      <c r="A28" s="448">
        <f t="shared" si="0"/>
        <v>22</v>
      </c>
      <c r="B28" s="501" t="s">
        <v>1744</v>
      </c>
      <c r="C28" s="39">
        <v>1689</v>
      </c>
      <c r="D28" s="77">
        <v>1312</v>
      </c>
      <c r="E28" s="39">
        <v>1562</v>
      </c>
      <c r="F28" s="77">
        <v>10016</v>
      </c>
      <c r="G28" s="77">
        <v>11694</v>
      </c>
      <c r="I28" s="90"/>
    </row>
    <row r="29" spans="1:9" ht="19.5" customHeight="1">
      <c r="A29" s="448">
        <f t="shared" si="0"/>
        <v>23</v>
      </c>
      <c r="B29" s="501" t="s">
        <v>1745</v>
      </c>
      <c r="C29" s="39">
        <v>715</v>
      </c>
      <c r="D29" s="77">
        <v>1287</v>
      </c>
      <c r="E29" s="39">
        <v>1486</v>
      </c>
      <c r="F29" s="77">
        <v>12315</v>
      </c>
      <c r="G29" s="77">
        <v>15022</v>
      </c>
      <c r="I29" s="90"/>
    </row>
    <row r="30" spans="1:9" ht="19.5" customHeight="1">
      <c r="A30" s="448">
        <f t="shared" si="0"/>
        <v>24</v>
      </c>
      <c r="B30" s="501" t="s">
        <v>1227</v>
      </c>
      <c r="C30" s="39">
        <v>11173</v>
      </c>
      <c r="D30" s="1605" t="s">
        <v>857</v>
      </c>
      <c r="E30" s="39">
        <v>1980</v>
      </c>
      <c r="F30" s="77">
        <v>11831</v>
      </c>
      <c r="G30" s="77">
        <v>23667</v>
      </c>
      <c r="I30" s="90"/>
    </row>
    <row r="31" spans="1:9" ht="19.5" customHeight="1">
      <c r="A31" s="448">
        <f t="shared" si="0"/>
        <v>25</v>
      </c>
      <c r="B31" s="501" t="s">
        <v>1228</v>
      </c>
      <c r="C31" s="39">
        <v>6152</v>
      </c>
      <c r="D31" s="77">
        <v>8982</v>
      </c>
      <c r="E31" s="39">
        <v>2080</v>
      </c>
      <c r="F31" s="77">
        <v>17786</v>
      </c>
      <c r="G31" s="77">
        <v>34503</v>
      </c>
      <c r="I31" s="90"/>
    </row>
    <row r="32" spans="1:9" ht="19.5" customHeight="1">
      <c r="A32" s="448">
        <f t="shared" si="0"/>
        <v>26</v>
      </c>
      <c r="B32" s="501" t="s">
        <v>1205</v>
      </c>
      <c r="C32" s="39">
        <v>15964</v>
      </c>
      <c r="D32" s="1605" t="s">
        <v>857</v>
      </c>
      <c r="E32" s="39">
        <v>1150</v>
      </c>
      <c r="F32" s="77">
        <v>20191</v>
      </c>
      <c r="G32" s="77">
        <v>38503</v>
      </c>
      <c r="I32" s="90"/>
    </row>
    <row r="33" spans="1:9" ht="19.5" customHeight="1">
      <c r="A33" s="448">
        <f t="shared" si="0"/>
        <v>27</v>
      </c>
      <c r="B33" s="501" t="s">
        <v>1206</v>
      </c>
      <c r="C33" s="39">
        <v>7842</v>
      </c>
      <c r="D33" s="77">
        <v>15562</v>
      </c>
      <c r="E33" s="39">
        <v>1982</v>
      </c>
      <c r="F33" s="77">
        <v>27211</v>
      </c>
      <c r="G33" s="77">
        <v>22457</v>
      </c>
      <c r="I33" s="90"/>
    </row>
    <row r="34" spans="1:9" ht="19.5" customHeight="1">
      <c r="A34" s="448">
        <f t="shared" si="0"/>
        <v>28</v>
      </c>
      <c r="B34" s="501" t="s">
        <v>1207</v>
      </c>
      <c r="C34" s="39">
        <v>9216</v>
      </c>
      <c r="D34" s="77">
        <v>14136</v>
      </c>
      <c r="E34" s="39">
        <v>1505</v>
      </c>
      <c r="F34" s="77">
        <v>18896</v>
      </c>
      <c r="G34" s="77">
        <v>37110</v>
      </c>
      <c r="I34" s="90"/>
    </row>
    <row r="35" spans="1:9" ht="19.5" customHeight="1">
      <c r="A35" s="251">
        <f t="shared" si="0"/>
        <v>29</v>
      </c>
      <c r="B35" s="1006" t="s">
        <v>1208</v>
      </c>
      <c r="C35" s="1587" t="s">
        <v>857</v>
      </c>
      <c r="D35" s="1606" t="s">
        <v>857</v>
      </c>
      <c r="E35" s="25">
        <v>4277</v>
      </c>
      <c r="F35" s="78">
        <v>38651</v>
      </c>
      <c r="G35" s="78">
        <v>69222</v>
      </c>
      <c r="I35" s="90"/>
    </row>
    <row r="36" spans="1:9">
      <c r="A36" s="114" t="s">
        <v>1309</v>
      </c>
      <c r="B36" s="1009"/>
      <c r="C36" s="114"/>
      <c r="D36" s="114"/>
      <c r="E36" s="114"/>
      <c r="F36" s="114"/>
      <c r="G36" s="114"/>
      <c r="H36" s="1009"/>
    </row>
    <row r="37" spans="1:9">
      <c r="A37" s="2273" t="s">
        <v>1313</v>
      </c>
      <c r="B37" s="2274"/>
      <c r="C37" s="2274"/>
      <c r="D37" s="2274"/>
      <c r="E37" s="2274"/>
      <c r="F37" s="2274"/>
      <c r="G37" s="1009"/>
      <c r="H37" s="1009"/>
    </row>
    <row r="38" spans="1:9">
      <c r="A38" s="2274"/>
      <c r="B38" s="2274"/>
      <c r="C38" s="2274"/>
      <c r="D38" s="2274"/>
      <c r="E38" s="2274"/>
      <c r="F38" s="2274"/>
      <c r="G38" s="1009"/>
      <c r="H38" s="1009"/>
    </row>
    <row r="39" spans="1:9">
      <c r="A39" s="1435" t="s">
        <v>1398</v>
      </c>
      <c r="B39" s="1009"/>
      <c r="C39" s="1009"/>
      <c r="D39" s="1009"/>
      <c r="E39" s="1432" t="s">
        <v>610</v>
      </c>
      <c r="F39" s="1095" t="s">
        <v>449</v>
      </c>
      <c r="G39" s="1433"/>
      <c r="H39" s="1009"/>
    </row>
    <row r="40" spans="1:9">
      <c r="A40" s="1009"/>
      <c r="B40" s="1009"/>
      <c r="C40" s="1149"/>
      <c r="D40" s="1149"/>
      <c r="E40" s="1489" t="s">
        <v>615</v>
      </c>
      <c r="F40" s="1434" t="s">
        <v>450</v>
      </c>
      <c r="G40" s="1433"/>
      <c r="H40" s="1009"/>
    </row>
    <row r="41" spans="1:9">
      <c r="A41" s="1009"/>
      <c r="B41" s="1009"/>
      <c r="C41" s="1009"/>
      <c r="D41" s="1009"/>
      <c r="E41" s="1489" t="s">
        <v>616</v>
      </c>
      <c r="F41" s="1433" t="s">
        <v>452</v>
      </c>
      <c r="G41" s="1433"/>
      <c r="H41" s="1009"/>
    </row>
    <row r="44" spans="1:9">
      <c r="E44" s="30"/>
    </row>
    <row r="49" spans="2:4">
      <c r="B49" s="783"/>
      <c r="C49" s="2"/>
      <c r="D49" s="2"/>
    </row>
  </sheetData>
  <mergeCells count="6">
    <mergeCell ref="A1:G1"/>
    <mergeCell ref="A37:F38"/>
    <mergeCell ref="A2:G2"/>
    <mergeCell ref="B4:B5"/>
    <mergeCell ref="C4:C5"/>
    <mergeCell ref="D4:D5"/>
  </mergeCells>
  <phoneticPr fontId="0" type="noConversion"/>
  <conditionalFormatting sqref="A1:C1048576 E1:XFD1048576 D1:D4 D6:D1048576">
    <cfRule type="cellIs" dxfId="2" priority="1" stopIfTrue="1" operator="equal">
      <formula>".."</formula>
    </cfRule>
  </conditionalFormatting>
  <printOptions horizontalCentered="1"/>
  <pageMargins left="0" right="0" top="0.56000000000000005" bottom="0.1" header="0.6" footer="0.1"/>
  <pageSetup paperSize="9" orientation="portrait" blackAndWhite="1" r:id="rId1"/>
  <headerFooter alignWithMargins="0"/>
</worksheet>
</file>

<file path=xl/worksheets/sheet79.xml><?xml version="1.0" encoding="utf-8"?>
<worksheet xmlns="http://schemas.openxmlformats.org/spreadsheetml/2006/main" xmlns:r="http://schemas.openxmlformats.org/officeDocument/2006/relationships">
  <dimension ref="A1:AT36"/>
  <sheetViews>
    <sheetView topLeftCell="A19" workbookViewId="0">
      <selection activeCell="Q39" sqref="Q39"/>
    </sheetView>
  </sheetViews>
  <sheetFormatPr defaultRowHeight="12.75"/>
  <cols>
    <col min="1" max="1" width="3.5703125" style="10" customWidth="1"/>
    <col min="2" max="2" width="12.7109375" style="10" customWidth="1"/>
    <col min="3" max="3" width="5" style="10" customWidth="1"/>
    <col min="4" max="4" width="7" style="10" customWidth="1"/>
    <col min="5" max="5" width="7.28515625" style="10" customWidth="1"/>
    <col min="6" max="6" width="6.42578125" style="10" customWidth="1"/>
    <col min="7" max="7" width="7.42578125" style="10" customWidth="1"/>
    <col min="8" max="8" width="6.5703125" style="10" customWidth="1"/>
    <col min="9" max="9" width="5.5703125" style="10" customWidth="1"/>
    <col min="10" max="10" width="6.85546875" style="10" customWidth="1"/>
    <col min="11" max="11" width="6.28515625" style="10" customWidth="1"/>
    <col min="12" max="12" width="5.7109375" style="10" customWidth="1"/>
    <col min="13" max="13" width="5.42578125" style="10" customWidth="1"/>
    <col min="14" max="14" width="5.7109375" style="10" customWidth="1"/>
    <col min="15" max="15" width="4.5703125" style="10" customWidth="1"/>
    <col min="16" max="16" width="6" style="10" customWidth="1"/>
    <col min="17" max="17" width="5" style="10" customWidth="1"/>
    <col min="18" max="18" width="5.140625" style="10" customWidth="1"/>
    <col min="19" max="19" width="7.42578125" style="10" customWidth="1"/>
    <col min="20" max="20" width="6.7109375" style="10" customWidth="1"/>
    <col min="21" max="21" width="4.7109375" style="10" customWidth="1"/>
    <col min="22" max="22" width="6" style="10" customWidth="1"/>
    <col min="23" max="23" width="5.7109375" style="10" customWidth="1"/>
    <col min="24" max="24" width="3.5703125" style="10" customWidth="1"/>
    <col min="25" max="25" width="13.7109375" style="10" customWidth="1"/>
    <col min="26" max="26" width="4.42578125" style="10" customWidth="1"/>
    <col min="27" max="27" width="5.85546875" style="10" customWidth="1"/>
    <col min="28" max="28" width="5.140625" style="10" customWidth="1"/>
    <col min="29" max="29" width="5" style="10" customWidth="1"/>
    <col min="30" max="30" width="6.140625" style="10" customWidth="1"/>
    <col min="31" max="31" width="6.28515625" style="10" customWidth="1"/>
    <col min="32" max="32" width="4.5703125" style="10" customWidth="1"/>
    <col min="33" max="33" width="5.42578125" style="10" customWidth="1"/>
    <col min="34" max="34" width="5" style="10" customWidth="1"/>
    <col min="35" max="35" width="5.42578125" style="10" customWidth="1"/>
    <col min="36" max="36" width="6" style="10" customWidth="1"/>
    <col min="37" max="37" width="5.5703125" style="10" customWidth="1"/>
    <col min="38" max="38" width="5" style="10" customWidth="1"/>
    <col min="39" max="39" width="6.140625" style="10" customWidth="1"/>
    <col min="40" max="40" width="5.85546875" style="10" customWidth="1"/>
    <col min="41" max="41" width="4.7109375" style="10" customWidth="1"/>
    <col min="42" max="42" width="6.85546875" style="10" customWidth="1"/>
    <col min="43" max="43" width="7.28515625" style="10" customWidth="1"/>
    <col min="44" max="44" width="4.5703125" style="10" customWidth="1"/>
    <col min="45" max="45" width="5.42578125" style="10" customWidth="1"/>
    <col min="46" max="46" width="7" style="10" customWidth="1"/>
    <col min="47" max="16384" width="9.140625" style="10"/>
  </cols>
  <sheetData>
    <row r="1" spans="1:46" ht="12.75" customHeight="1">
      <c r="A1" s="1899" t="s">
        <v>322</v>
      </c>
      <c r="B1" s="1899"/>
      <c r="C1" s="1899"/>
      <c r="D1" s="1899"/>
      <c r="E1" s="1899"/>
      <c r="F1" s="1899"/>
      <c r="G1" s="1899"/>
      <c r="H1" s="1899"/>
      <c r="I1" s="1899"/>
      <c r="J1" s="1899"/>
      <c r="K1" s="1899"/>
      <c r="L1" s="1899"/>
      <c r="M1" s="1899"/>
      <c r="N1" s="1899"/>
      <c r="O1" s="1899"/>
      <c r="P1" s="1899"/>
      <c r="Q1" s="1899"/>
      <c r="R1" s="1899"/>
      <c r="S1" s="1899"/>
      <c r="T1" s="1899"/>
      <c r="U1" s="1899"/>
      <c r="V1" s="1899"/>
      <c r="W1" s="1899"/>
    </row>
    <row r="2" spans="1:46" ht="20.25" customHeight="1">
      <c r="A2" s="2277" t="str">
        <f>CONCATENATE("Area, Production and Yield rates of Major Crops in the Blocks of ",District!A1," for the year ",District!F3)</f>
        <v>Area, Production and Yield rates of Major Crops in the Blocks of South 24-Parganas for the year 2013-14</v>
      </c>
      <c r="B2" s="2277"/>
      <c r="C2" s="2277"/>
      <c r="D2" s="2277"/>
      <c r="E2" s="2277"/>
      <c r="F2" s="2277"/>
      <c r="G2" s="2277"/>
      <c r="H2" s="2277"/>
      <c r="I2" s="2277"/>
      <c r="J2" s="2277"/>
      <c r="K2" s="2277"/>
      <c r="L2" s="2277"/>
      <c r="M2" s="2277"/>
      <c r="N2" s="2277"/>
      <c r="O2" s="2277"/>
      <c r="P2" s="2277"/>
      <c r="Q2" s="2277"/>
      <c r="R2" s="2277"/>
      <c r="S2" s="2277"/>
      <c r="T2" s="2277"/>
      <c r="U2" s="2277"/>
      <c r="V2" s="2277"/>
      <c r="W2" s="2277"/>
      <c r="X2" s="2100" t="s">
        <v>824</v>
      </c>
      <c r="Y2" s="2100"/>
      <c r="Z2" s="2100"/>
      <c r="AA2" s="2100"/>
      <c r="AB2" s="2100"/>
      <c r="AC2" s="2100"/>
      <c r="AD2" s="2100"/>
      <c r="AE2" s="2100"/>
      <c r="AF2" s="2100"/>
      <c r="AG2" s="2100"/>
      <c r="AH2" s="2100"/>
      <c r="AI2" s="2100"/>
      <c r="AJ2" s="2100"/>
      <c r="AK2" s="2100"/>
      <c r="AL2" s="2100"/>
      <c r="AM2" s="2100"/>
      <c r="AN2" s="2100"/>
      <c r="AO2" s="2100"/>
      <c r="AP2" s="2100"/>
      <c r="AQ2" s="2100"/>
      <c r="AR2" s="2100"/>
      <c r="AS2" s="2100"/>
      <c r="AT2" s="2100"/>
    </row>
    <row r="3" spans="1:46" ht="15" customHeight="1">
      <c r="A3" s="2086" t="s">
        <v>1731</v>
      </c>
      <c r="B3" s="1721" t="s">
        <v>477</v>
      </c>
      <c r="C3" s="2219" t="s">
        <v>1385</v>
      </c>
      <c r="D3" s="2219"/>
      <c r="E3" s="2220"/>
      <c r="F3" s="2218" t="s">
        <v>1386</v>
      </c>
      <c r="G3" s="2219"/>
      <c r="H3" s="2220"/>
      <c r="I3" s="2218" t="s">
        <v>1387</v>
      </c>
      <c r="J3" s="2219"/>
      <c r="K3" s="2220"/>
      <c r="L3" s="2218" t="s">
        <v>1388</v>
      </c>
      <c r="M3" s="2219"/>
      <c r="N3" s="2220"/>
      <c r="O3" s="2218" t="s">
        <v>285</v>
      </c>
      <c r="P3" s="2219"/>
      <c r="Q3" s="2220"/>
      <c r="R3" s="2219" t="s">
        <v>1425</v>
      </c>
      <c r="S3" s="2219"/>
      <c r="T3" s="2220"/>
      <c r="U3" s="2218" t="s">
        <v>1506</v>
      </c>
      <c r="V3" s="2219"/>
      <c r="W3" s="2220"/>
      <c r="X3" s="2086" t="s">
        <v>1731</v>
      </c>
      <c r="Y3" s="1721" t="s">
        <v>477</v>
      </c>
      <c r="Z3" s="2219" t="s">
        <v>253</v>
      </c>
      <c r="AA3" s="2219"/>
      <c r="AB3" s="2219"/>
      <c r="AC3" s="2218" t="s">
        <v>585</v>
      </c>
      <c r="AD3" s="2219"/>
      <c r="AE3" s="2220"/>
      <c r="AF3" s="2218" t="s">
        <v>975</v>
      </c>
      <c r="AG3" s="2219"/>
      <c r="AH3" s="2220"/>
      <c r="AI3" s="2218" t="s">
        <v>254</v>
      </c>
      <c r="AJ3" s="2219"/>
      <c r="AK3" s="2220"/>
      <c r="AL3" s="2218" t="s">
        <v>793</v>
      </c>
      <c r="AM3" s="2219"/>
      <c r="AN3" s="2220"/>
      <c r="AO3" s="2218" t="s">
        <v>1428</v>
      </c>
      <c r="AP3" s="2219"/>
      <c r="AQ3" s="2220"/>
      <c r="AR3" s="2219" t="s">
        <v>1427</v>
      </c>
      <c r="AS3" s="2219"/>
      <c r="AT3" s="2220"/>
    </row>
    <row r="4" spans="1:46" ht="15" customHeight="1">
      <c r="A4" s="2250"/>
      <c r="B4" s="2278"/>
      <c r="C4" s="160" t="s">
        <v>261</v>
      </c>
      <c r="D4" s="160" t="s">
        <v>256</v>
      </c>
      <c r="E4" s="535" t="s">
        <v>257</v>
      </c>
      <c r="F4" s="160" t="s">
        <v>261</v>
      </c>
      <c r="G4" s="160" t="s">
        <v>256</v>
      </c>
      <c r="H4" s="535" t="s">
        <v>257</v>
      </c>
      <c r="I4" s="160" t="s">
        <v>261</v>
      </c>
      <c r="J4" s="160" t="s">
        <v>256</v>
      </c>
      <c r="K4" s="535" t="s">
        <v>257</v>
      </c>
      <c r="L4" s="739" t="s">
        <v>261</v>
      </c>
      <c r="M4" s="160" t="s">
        <v>256</v>
      </c>
      <c r="N4" s="162" t="s">
        <v>257</v>
      </c>
      <c r="O4" s="160" t="s">
        <v>261</v>
      </c>
      <c r="P4" s="160" t="s">
        <v>256</v>
      </c>
      <c r="Q4" s="535" t="s">
        <v>257</v>
      </c>
      <c r="R4" s="160" t="s">
        <v>261</v>
      </c>
      <c r="S4" s="160" t="s">
        <v>258</v>
      </c>
      <c r="T4" s="535" t="s">
        <v>259</v>
      </c>
      <c r="U4" s="160" t="s">
        <v>261</v>
      </c>
      <c r="V4" s="160" t="s">
        <v>256</v>
      </c>
      <c r="W4" s="160" t="s">
        <v>257</v>
      </c>
      <c r="X4" s="2250"/>
      <c r="Y4" s="2278"/>
      <c r="Z4" s="160" t="s">
        <v>261</v>
      </c>
      <c r="AA4" s="160" t="s">
        <v>256</v>
      </c>
      <c r="AB4" s="535" t="s">
        <v>257</v>
      </c>
      <c r="AC4" s="160" t="s">
        <v>261</v>
      </c>
      <c r="AD4" s="160" t="s">
        <v>256</v>
      </c>
      <c r="AE4" s="535" t="s">
        <v>257</v>
      </c>
      <c r="AF4" s="160" t="s">
        <v>261</v>
      </c>
      <c r="AG4" s="160" t="s">
        <v>256</v>
      </c>
      <c r="AH4" s="535" t="s">
        <v>257</v>
      </c>
      <c r="AI4" s="160" t="s">
        <v>261</v>
      </c>
      <c r="AJ4" s="160" t="s">
        <v>256</v>
      </c>
      <c r="AK4" s="535" t="s">
        <v>257</v>
      </c>
      <c r="AL4" s="160" t="s">
        <v>261</v>
      </c>
      <c r="AM4" s="160" t="s">
        <v>256</v>
      </c>
      <c r="AN4" s="535" t="s">
        <v>257</v>
      </c>
      <c r="AO4" s="160" t="s">
        <v>261</v>
      </c>
      <c r="AP4" s="160" t="s">
        <v>256</v>
      </c>
      <c r="AQ4" s="535" t="s">
        <v>257</v>
      </c>
      <c r="AR4" s="160" t="s">
        <v>261</v>
      </c>
      <c r="AS4" s="160" t="s">
        <v>256</v>
      </c>
      <c r="AT4" s="160" t="s">
        <v>257</v>
      </c>
    </row>
    <row r="5" spans="1:46" ht="15" customHeight="1">
      <c r="A5" s="1275" t="s">
        <v>928</v>
      </c>
      <c r="B5" s="969" t="s">
        <v>929</v>
      </c>
      <c r="C5" s="969" t="s">
        <v>930</v>
      </c>
      <c r="D5" s="969" t="s">
        <v>931</v>
      </c>
      <c r="E5" s="1278" t="s">
        <v>932</v>
      </c>
      <c r="F5" s="1277" t="s">
        <v>933</v>
      </c>
      <c r="G5" s="969" t="s">
        <v>934</v>
      </c>
      <c r="H5" s="1278" t="s">
        <v>959</v>
      </c>
      <c r="I5" s="1276" t="s">
        <v>960</v>
      </c>
      <c r="J5" s="969" t="s">
        <v>961</v>
      </c>
      <c r="K5" s="1276" t="s">
        <v>962</v>
      </c>
      <c r="L5" s="1277" t="s">
        <v>1037</v>
      </c>
      <c r="M5" s="969" t="s">
        <v>1038</v>
      </c>
      <c r="N5" s="1278" t="s">
        <v>1039</v>
      </c>
      <c r="O5" s="1276" t="s">
        <v>1040</v>
      </c>
      <c r="P5" s="969" t="s">
        <v>1041</v>
      </c>
      <c r="Q5" s="1276" t="s">
        <v>1042</v>
      </c>
      <c r="R5" s="1277" t="s">
        <v>1044</v>
      </c>
      <c r="S5" s="969" t="s">
        <v>1043</v>
      </c>
      <c r="T5" s="1278" t="s">
        <v>1286</v>
      </c>
      <c r="U5" s="1277" t="s">
        <v>1288</v>
      </c>
      <c r="V5" s="969" t="s">
        <v>1289</v>
      </c>
      <c r="W5" s="1278" t="s">
        <v>53</v>
      </c>
      <c r="X5" s="1275" t="s">
        <v>928</v>
      </c>
      <c r="Y5" s="969" t="s">
        <v>929</v>
      </c>
      <c r="Z5" s="1277" t="s">
        <v>54</v>
      </c>
      <c r="AA5" s="969" t="s">
        <v>55</v>
      </c>
      <c r="AB5" s="1278" t="s">
        <v>56</v>
      </c>
      <c r="AC5" s="1276" t="s">
        <v>57</v>
      </c>
      <c r="AD5" s="969" t="s">
        <v>58</v>
      </c>
      <c r="AE5" s="1276" t="s">
        <v>60</v>
      </c>
      <c r="AF5" s="1277" t="s">
        <v>61</v>
      </c>
      <c r="AG5" s="969" t="s">
        <v>62</v>
      </c>
      <c r="AH5" s="1278" t="s">
        <v>63</v>
      </c>
      <c r="AI5" s="1276" t="s">
        <v>64</v>
      </c>
      <c r="AJ5" s="969" t="s">
        <v>65</v>
      </c>
      <c r="AK5" s="1276" t="s">
        <v>66</v>
      </c>
      <c r="AL5" s="1277" t="s">
        <v>67</v>
      </c>
      <c r="AM5" s="969" t="s">
        <v>69</v>
      </c>
      <c r="AN5" s="1278" t="s">
        <v>68</v>
      </c>
      <c r="AO5" s="1277" t="s">
        <v>70</v>
      </c>
      <c r="AP5" s="969" t="s">
        <v>71</v>
      </c>
      <c r="AQ5" s="1278" t="s">
        <v>224</v>
      </c>
      <c r="AR5" s="1276" t="s">
        <v>225</v>
      </c>
      <c r="AS5" s="969" t="s">
        <v>226</v>
      </c>
      <c r="AT5" s="1278" t="s">
        <v>227</v>
      </c>
    </row>
    <row r="6" spans="1:46" ht="25.5" customHeight="1">
      <c r="A6" s="455">
        <v>1</v>
      </c>
      <c r="B6" s="738" t="s">
        <v>1544</v>
      </c>
      <c r="C6" s="392" t="s">
        <v>1229</v>
      </c>
      <c r="D6" s="392" t="s">
        <v>1229</v>
      </c>
      <c r="E6" s="1304" t="s">
        <v>1229</v>
      </c>
      <c r="F6" s="1338">
        <v>624</v>
      </c>
      <c r="G6" s="1358">
        <v>1.018</v>
      </c>
      <c r="H6" s="1357">
        <v>1631.9</v>
      </c>
      <c r="I6" s="537">
        <v>376</v>
      </c>
      <c r="J6" s="1358">
        <v>1.179</v>
      </c>
      <c r="K6" s="1359">
        <v>3135.27</v>
      </c>
      <c r="L6" s="392" t="s">
        <v>1229</v>
      </c>
      <c r="M6" s="392" t="s">
        <v>1229</v>
      </c>
      <c r="N6" s="1304" t="s">
        <v>1229</v>
      </c>
      <c r="O6" s="392" t="s">
        <v>1229</v>
      </c>
      <c r="P6" s="392" t="s">
        <v>1229</v>
      </c>
      <c r="Q6" s="1304" t="s">
        <v>1229</v>
      </c>
      <c r="R6" s="392" t="s">
        <v>1229</v>
      </c>
      <c r="S6" s="392" t="s">
        <v>1229</v>
      </c>
      <c r="T6" s="1304" t="s">
        <v>1229</v>
      </c>
      <c r="U6" s="392" t="s">
        <v>1229</v>
      </c>
      <c r="V6" s="392" t="s">
        <v>1229</v>
      </c>
      <c r="W6" s="1304" t="s">
        <v>1229</v>
      </c>
      <c r="X6" s="455">
        <v>1</v>
      </c>
      <c r="Y6" s="1309" t="s">
        <v>1544</v>
      </c>
      <c r="Z6" s="392" t="s">
        <v>1229</v>
      </c>
      <c r="AA6" s="392" t="s">
        <v>1229</v>
      </c>
      <c r="AB6" s="1304" t="s">
        <v>1229</v>
      </c>
      <c r="AC6" s="1355"/>
      <c r="AD6" s="1356"/>
      <c r="AE6" s="1355"/>
      <c r="AF6" s="392" t="s">
        <v>1229</v>
      </c>
      <c r="AG6" s="392" t="s">
        <v>1229</v>
      </c>
      <c r="AH6" s="1304" t="s">
        <v>1229</v>
      </c>
      <c r="AI6" s="392" t="s">
        <v>1229</v>
      </c>
      <c r="AJ6" s="392" t="s">
        <v>1229</v>
      </c>
      <c r="AK6" s="1304" t="s">
        <v>1229</v>
      </c>
      <c r="AL6" s="392" t="s">
        <v>1229</v>
      </c>
      <c r="AM6" s="392" t="s">
        <v>1229</v>
      </c>
      <c r="AN6" s="1304" t="s">
        <v>1229</v>
      </c>
      <c r="AO6" s="392" t="s">
        <v>1229</v>
      </c>
      <c r="AP6" s="392" t="s">
        <v>1229</v>
      </c>
      <c r="AQ6" s="1304" t="s">
        <v>1229</v>
      </c>
      <c r="AR6" s="392" t="s">
        <v>1229</v>
      </c>
      <c r="AS6" s="392" t="s">
        <v>1229</v>
      </c>
      <c r="AT6" s="1304" t="s">
        <v>1229</v>
      </c>
    </row>
    <row r="7" spans="1:46" ht="14.25" customHeight="1">
      <c r="A7" s="515">
        <f>A6+1</f>
        <v>2</v>
      </c>
      <c r="B7" s="299" t="s">
        <v>1214</v>
      </c>
      <c r="C7" s="392" t="s">
        <v>1229</v>
      </c>
      <c r="D7" s="392" t="s">
        <v>1229</v>
      </c>
      <c r="E7" s="1304" t="s">
        <v>1229</v>
      </c>
      <c r="F7" s="370">
        <v>1021</v>
      </c>
      <c r="G7" s="875">
        <v>0.752</v>
      </c>
      <c r="H7" s="1305">
        <v>736.36</v>
      </c>
      <c r="I7" s="370">
        <v>7158</v>
      </c>
      <c r="J7" s="875">
        <v>22.468</v>
      </c>
      <c r="K7" s="376">
        <v>3138.87</v>
      </c>
      <c r="L7" s="392" t="s">
        <v>1229</v>
      </c>
      <c r="M7" s="392" t="s">
        <v>1229</v>
      </c>
      <c r="N7" s="1304" t="s">
        <v>1229</v>
      </c>
      <c r="O7" s="392" t="s">
        <v>1229</v>
      </c>
      <c r="P7" s="392" t="s">
        <v>1229</v>
      </c>
      <c r="Q7" s="1304" t="s">
        <v>1229</v>
      </c>
      <c r="R7" s="392" t="s">
        <v>1229</v>
      </c>
      <c r="S7" s="392" t="s">
        <v>1229</v>
      </c>
      <c r="T7" s="1304" t="s">
        <v>1229</v>
      </c>
      <c r="U7" s="392" t="s">
        <v>1229</v>
      </c>
      <c r="V7" s="392" t="s">
        <v>1229</v>
      </c>
      <c r="W7" s="1304" t="s">
        <v>1229</v>
      </c>
      <c r="X7" s="226">
        <f>X6+1</f>
        <v>2</v>
      </c>
      <c r="Y7" s="339" t="s">
        <v>1214</v>
      </c>
      <c r="Z7" s="392" t="s">
        <v>1229</v>
      </c>
      <c r="AA7" s="392" t="s">
        <v>1229</v>
      </c>
      <c r="AB7" s="1304" t="s">
        <v>1229</v>
      </c>
      <c r="AC7" s="1446"/>
      <c r="AD7" s="1281"/>
      <c r="AE7" s="1284"/>
      <c r="AF7" s="392" t="s">
        <v>1229</v>
      </c>
      <c r="AG7" s="392" t="s">
        <v>1229</v>
      </c>
      <c r="AH7" s="1304" t="s">
        <v>1229</v>
      </c>
      <c r="AI7" s="392" t="s">
        <v>1229</v>
      </c>
      <c r="AJ7" s="392" t="s">
        <v>1229</v>
      </c>
      <c r="AK7" s="1304" t="s">
        <v>1229</v>
      </c>
      <c r="AL7" s="392" t="s">
        <v>1229</v>
      </c>
      <c r="AM7" s="392" t="s">
        <v>1229</v>
      </c>
      <c r="AN7" s="1304" t="s">
        <v>1229</v>
      </c>
      <c r="AO7" s="392" t="s">
        <v>1229</v>
      </c>
      <c r="AP7" s="392" t="s">
        <v>1229</v>
      </c>
      <c r="AQ7" s="1304" t="s">
        <v>1229</v>
      </c>
      <c r="AR7" s="392" t="s">
        <v>1229</v>
      </c>
      <c r="AS7" s="392" t="s">
        <v>1229</v>
      </c>
      <c r="AT7" s="1304" t="s">
        <v>1229</v>
      </c>
    </row>
    <row r="8" spans="1:46" ht="14.25" customHeight="1">
      <c r="A8" s="515">
        <f t="shared" ref="A8:A34" si="0">A7+1</f>
        <v>3</v>
      </c>
      <c r="B8" s="299" t="s">
        <v>1211</v>
      </c>
      <c r="C8" s="392" t="s">
        <v>1229</v>
      </c>
      <c r="D8" s="392" t="s">
        <v>1229</v>
      </c>
      <c r="E8" s="1304" t="s">
        <v>1229</v>
      </c>
      <c r="F8" s="370">
        <v>1155</v>
      </c>
      <c r="G8" s="875">
        <v>1.9530000000000001</v>
      </c>
      <c r="H8" s="1305">
        <v>1690.49</v>
      </c>
      <c r="I8" s="370">
        <v>535</v>
      </c>
      <c r="J8" s="875">
        <v>1.712</v>
      </c>
      <c r="K8" s="376">
        <v>3200.71</v>
      </c>
      <c r="L8" s="392" t="s">
        <v>1229</v>
      </c>
      <c r="M8" s="392" t="s">
        <v>1229</v>
      </c>
      <c r="N8" s="1304" t="s">
        <v>1229</v>
      </c>
      <c r="O8" s="392" t="s">
        <v>1229</v>
      </c>
      <c r="P8" s="392" t="s">
        <v>1229</v>
      </c>
      <c r="Q8" s="1304" t="s">
        <v>1229</v>
      </c>
      <c r="R8" s="392" t="s">
        <v>1229</v>
      </c>
      <c r="S8" s="392" t="s">
        <v>1229</v>
      </c>
      <c r="T8" s="1304" t="s">
        <v>1229</v>
      </c>
      <c r="U8" s="392" t="s">
        <v>1229</v>
      </c>
      <c r="V8" s="392" t="s">
        <v>1229</v>
      </c>
      <c r="W8" s="1304" t="s">
        <v>1229</v>
      </c>
      <c r="X8" s="226">
        <f t="shared" ref="X8:X34" si="1">X7+1</f>
        <v>3</v>
      </c>
      <c r="Y8" s="339" t="s">
        <v>1211</v>
      </c>
      <c r="Z8" s="392" t="s">
        <v>1229</v>
      </c>
      <c r="AA8" s="392" t="s">
        <v>1229</v>
      </c>
      <c r="AB8" s="1304" t="s">
        <v>1229</v>
      </c>
      <c r="AC8" s="1446"/>
      <c r="AD8" s="1281"/>
      <c r="AE8" s="1284"/>
      <c r="AF8" s="392" t="s">
        <v>1229</v>
      </c>
      <c r="AG8" s="392" t="s">
        <v>1229</v>
      </c>
      <c r="AH8" s="1304" t="s">
        <v>1229</v>
      </c>
      <c r="AI8" s="392" t="s">
        <v>1229</v>
      </c>
      <c r="AJ8" s="392" t="s">
        <v>1229</v>
      </c>
      <c r="AK8" s="1304" t="s">
        <v>1229</v>
      </c>
      <c r="AL8" s="392" t="s">
        <v>1229</v>
      </c>
      <c r="AM8" s="392" t="s">
        <v>1229</v>
      </c>
      <c r="AN8" s="1304" t="s">
        <v>1229</v>
      </c>
      <c r="AO8" s="392" t="s">
        <v>1229</v>
      </c>
      <c r="AP8" s="392" t="s">
        <v>1229</v>
      </c>
      <c r="AQ8" s="1304" t="s">
        <v>1229</v>
      </c>
      <c r="AR8" s="392" t="s">
        <v>1229</v>
      </c>
      <c r="AS8" s="392" t="s">
        <v>1229</v>
      </c>
      <c r="AT8" s="1304" t="s">
        <v>1229</v>
      </c>
    </row>
    <row r="9" spans="1:46" ht="14.25" customHeight="1">
      <c r="A9" s="515">
        <f t="shared" si="0"/>
        <v>4</v>
      </c>
      <c r="B9" s="1279" t="s">
        <v>1212</v>
      </c>
      <c r="C9" s="392" t="s">
        <v>1229</v>
      </c>
      <c r="D9" s="392" t="s">
        <v>1229</v>
      </c>
      <c r="E9" s="1304" t="s">
        <v>1229</v>
      </c>
      <c r="F9" s="370">
        <v>1493</v>
      </c>
      <c r="G9" s="875">
        <v>3.02</v>
      </c>
      <c r="H9" s="1305">
        <v>2022.94</v>
      </c>
      <c r="I9" s="370">
        <v>233</v>
      </c>
      <c r="J9" s="875">
        <v>1.044</v>
      </c>
      <c r="K9" s="376">
        <v>4479.66</v>
      </c>
      <c r="L9" s="392" t="s">
        <v>1229</v>
      </c>
      <c r="M9" s="392" t="s">
        <v>1229</v>
      </c>
      <c r="N9" s="1304" t="s">
        <v>1229</v>
      </c>
      <c r="O9" s="392" t="s">
        <v>1229</v>
      </c>
      <c r="P9" s="392" t="s">
        <v>1229</v>
      </c>
      <c r="Q9" s="1304" t="s">
        <v>1229</v>
      </c>
      <c r="R9" s="392" t="s">
        <v>1229</v>
      </c>
      <c r="S9" s="392" t="s">
        <v>1229</v>
      </c>
      <c r="T9" s="1304" t="s">
        <v>1229</v>
      </c>
      <c r="U9" s="392" t="s">
        <v>1229</v>
      </c>
      <c r="V9" s="392" t="s">
        <v>1229</v>
      </c>
      <c r="W9" s="1304" t="s">
        <v>1229</v>
      </c>
      <c r="X9" s="226">
        <f t="shared" si="1"/>
        <v>4</v>
      </c>
      <c r="Y9" s="1280" t="s">
        <v>1212</v>
      </c>
      <c r="Z9" s="392" t="s">
        <v>1229</v>
      </c>
      <c r="AA9" s="392" t="s">
        <v>1229</v>
      </c>
      <c r="AB9" s="1304" t="s">
        <v>1229</v>
      </c>
      <c r="AC9" s="1446"/>
      <c r="AD9" s="1281"/>
      <c r="AE9" s="1284"/>
      <c r="AF9" s="392" t="s">
        <v>1229</v>
      </c>
      <c r="AG9" s="392" t="s">
        <v>1229</v>
      </c>
      <c r="AH9" s="1304" t="s">
        <v>1229</v>
      </c>
      <c r="AI9" s="392" t="s">
        <v>1229</v>
      </c>
      <c r="AJ9" s="392" t="s">
        <v>1229</v>
      </c>
      <c r="AK9" s="1304" t="s">
        <v>1229</v>
      </c>
      <c r="AL9" s="392" t="s">
        <v>1229</v>
      </c>
      <c r="AM9" s="392" t="s">
        <v>1229</v>
      </c>
      <c r="AN9" s="1304" t="s">
        <v>1229</v>
      </c>
      <c r="AO9" s="392" t="s">
        <v>1229</v>
      </c>
      <c r="AP9" s="392" t="s">
        <v>1229</v>
      </c>
      <c r="AQ9" s="1304" t="s">
        <v>1229</v>
      </c>
      <c r="AR9" s="392" t="s">
        <v>1229</v>
      </c>
      <c r="AS9" s="392" t="s">
        <v>1229</v>
      </c>
      <c r="AT9" s="1304" t="s">
        <v>1229</v>
      </c>
    </row>
    <row r="10" spans="1:46" ht="14.25" customHeight="1">
      <c r="A10" s="515">
        <f t="shared" si="0"/>
        <v>5</v>
      </c>
      <c r="B10" s="1279" t="s">
        <v>1213</v>
      </c>
      <c r="C10" s="392" t="s">
        <v>1229</v>
      </c>
      <c r="D10" s="392" t="s">
        <v>1229</v>
      </c>
      <c r="E10" s="1304" t="s">
        <v>1229</v>
      </c>
      <c r="F10" s="370">
        <v>3984</v>
      </c>
      <c r="G10" s="875">
        <v>7.3120000000000003</v>
      </c>
      <c r="H10" s="1305">
        <v>1835.38</v>
      </c>
      <c r="I10" s="370">
        <v>2167</v>
      </c>
      <c r="J10" s="875">
        <v>6.5140000000000002</v>
      </c>
      <c r="K10" s="376">
        <v>3006.22</v>
      </c>
      <c r="L10" s="392" t="s">
        <v>1229</v>
      </c>
      <c r="M10" s="392" t="s">
        <v>1229</v>
      </c>
      <c r="N10" s="1304" t="s">
        <v>1229</v>
      </c>
      <c r="O10" s="392" t="s">
        <v>1229</v>
      </c>
      <c r="P10" s="392" t="s">
        <v>1229</v>
      </c>
      <c r="Q10" s="1304" t="s">
        <v>1229</v>
      </c>
      <c r="R10" s="392" t="s">
        <v>1229</v>
      </c>
      <c r="S10" s="392" t="s">
        <v>1229</v>
      </c>
      <c r="T10" s="1304" t="s">
        <v>1229</v>
      </c>
      <c r="U10" s="392" t="s">
        <v>1229</v>
      </c>
      <c r="V10" s="392" t="s">
        <v>1229</v>
      </c>
      <c r="W10" s="1304" t="s">
        <v>1229</v>
      </c>
      <c r="X10" s="226">
        <f t="shared" si="1"/>
        <v>5</v>
      </c>
      <c r="Y10" s="1280" t="s">
        <v>1213</v>
      </c>
      <c r="Z10" s="392" t="s">
        <v>1229</v>
      </c>
      <c r="AA10" s="392" t="s">
        <v>1229</v>
      </c>
      <c r="AB10" s="1304" t="s">
        <v>1229</v>
      </c>
      <c r="AC10" s="1445"/>
      <c r="AD10" s="1281"/>
      <c r="AE10" s="1296"/>
      <c r="AF10" s="392" t="s">
        <v>1229</v>
      </c>
      <c r="AG10" s="392" t="s">
        <v>1229</v>
      </c>
      <c r="AH10" s="1304" t="s">
        <v>1229</v>
      </c>
      <c r="AI10" s="392" t="s">
        <v>1229</v>
      </c>
      <c r="AJ10" s="392" t="s">
        <v>1229</v>
      </c>
      <c r="AK10" s="1304" t="s">
        <v>1229</v>
      </c>
      <c r="AL10" s="392" t="s">
        <v>1229</v>
      </c>
      <c r="AM10" s="392" t="s">
        <v>1229</v>
      </c>
      <c r="AN10" s="1304" t="s">
        <v>1229</v>
      </c>
      <c r="AO10" s="392" t="s">
        <v>1229</v>
      </c>
      <c r="AP10" s="392" t="s">
        <v>1229</v>
      </c>
      <c r="AQ10" s="1304" t="s">
        <v>1229</v>
      </c>
      <c r="AR10" s="392" t="s">
        <v>1229</v>
      </c>
      <c r="AS10" s="392" t="s">
        <v>1229</v>
      </c>
      <c r="AT10" s="1304" t="s">
        <v>1229</v>
      </c>
    </row>
    <row r="11" spans="1:46" ht="14.25" customHeight="1">
      <c r="A11" s="515">
        <f t="shared" si="0"/>
        <v>6</v>
      </c>
      <c r="B11" s="299" t="s">
        <v>1218</v>
      </c>
      <c r="C11" s="392" t="s">
        <v>1229</v>
      </c>
      <c r="D11" s="392" t="s">
        <v>1229</v>
      </c>
      <c r="E11" s="1304" t="s">
        <v>1229</v>
      </c>
      <c r="F11" s="370">
        <v>1763</v>
      </c>
      <c r="G11" s="875">
        <v>1.343</v>
      </c>
      <c r="H11" s="1305">
        <v>761.57</v>
      </c>
      <c r="I11" s="392" t="s">
        <v>1229</v>
      </c>
      <c r="J11" s="392" t="s">
        <v>1229</v>
      </c>
      <c r="K11" s="1304" t="s">
        <v>1229</v>
      </c>
      <c r="L11" s="392" t="s">
        <v>1229</v>
      </c>
      <c r="M11" s="392" t="s">
        <v>1229</v>
      </c>
      <c r="N11" s="1304" t="s">
        <v>1229</v>
      </c>
      <c r="O11" s="392" t="s">
        <v>1229</v>
      </c>
      <c r="P11" s="392" t="s">
        <v>1229</v>
      </c>
      <c r="Q11" s="1304" t="s">
        <v>1229</v>
      </c>
      <c r="R11" s="392" t="s">
        <v>1229</v>
      </c>
      <c r="S11" s="392" t="s">
        <v>1229</v>
      </c>
      <c r="T11" s="1304" t="s">
        <v>1229</v>
      </c>
      <c r="U11" s="392" t="s">
        <v>1229</v>
      </c>
      <c r="V11" s="392" t="s">
        <v>1229</v>
      </c>
      <c r="W11" s="1304" t="s">
        <v>1229</v>
      </c>
      <c r="X11" s="226">
        <f t="shared" si="1"/>
        <v>6</v>
      </c>
      <c r="Y11" s="339" t="s">
        <v>1218</v>
      </c>
      <c r="Z11" s="392" t="s">
        <v>1229</v>
      </c>
      <c r="AA11" s="392" t="s">
        <v>1229</v>
      </c>
      <c r="AB11" s="1304" t="s">
        <v>1229</v>
      </c>
      <c r="AC11" s="1446">
        <v>10</v>
      </c>
      <c r="AD11" s="1281">
        <v>1.2E-2</v>
      </c>
      <c r="AE11" s="1284">
        <v>1160.75</v>
      </c>
      <c r="AF11" s="392" t="s">
        <v>1229</v>
      </c>
      <c r="AG11" s="392" t="s">
        <v>1229</v>
      </c>
      <c r="AH11" s="1304" t="s">
        <v>1229</v>
      </c>
      <c r="AI11" s="392" t="s">
        <v>1229</v>
      </c>
      <c r="AJ11" s="392" t="s">
        <v>1229</v>
      </c>
      <c r="AK11" s="1304" t="s">
        <v>1229</v>
      </c>
      <c r="AL11" s="392" t="s">
        <v>1229</v>
      </c>
      <c r="AM11" s="392" t="s">
        <v>1229</v>
      </c>
      <c r="AN11" s="1304" t="s">
        <v>1229</v>
      </c>
      <c r="AO11" s="1304" t="s">
        <v>1229</v>
      </c>
      <c r="AP11" s="1304" t="s">
        <v>1229</v>
      </c>
      <c r="AQ11" s="1296">
        <v>28974</v>
      </c>
      <c r="AR11" s="392" t="s">
        <v>1229</v>
      </c>
      <c r="AS11" s="392" t="s">
        <v>1229</v>
      </c>
      <c r="AT11" s="1304" t="s">
        <v>1229</v>
      </c>
    </row>
    <row r="12" spans="1:46" ht="14.25" customHeight="1">
      <c r="A12" s="515">
        <f t="shared" si="0"/>
        <v>7</v>
      </c>
      <c r="B12" s="339" t="s">
        <v>759</v>
      </c>
      <c r="C12" s="916">
        <v>249</v>
      </c>
      <c r="D12" s="1281">
        <v>0.64300000000000002</v>
      </c>
      <c r="E12" s="1296">
        <v>2583.87</v>
      </c>
      <c r="F12" s="395">
        <v>4613</v>
      </c>
      <c r="G12" s="875">
        <v>8.9410000000000007</v>
      </c>
      <c r="H12" s="1305">
        <v>1938.29</v>
      </c>
      <c r="I12" s="370">
        <v>862</v>
      </c>
      <c r="J12" s="875">
        <v>2.9049999999999998</v>
      </c>
      <c r="K12" s="1304">
        <v>3370.23</v>
      </c>
      <c r="L12" s="392" t="s">
        <v>1229</v>
      </c>
      <c r="M12" s="392" t="s">
        <v>1229</v>
      </c>
      <c r="N12" s="1304" t="s">
        <v>1229</v>
      </c>
      <c r="O12" s="392" t="s">
        <v>1229</v>
      </c>
      <c r="P12" s="392" t="s">
        <v>1229</v>
      </c>
      <c r="Q12" s="1304" t="s">
        <v>1229</v>
      </c>
      <c r="R12" s="916">
        <v>29</v>
      </c>
      <c r="S12" s="1281">
        <v>0.61299999999999999</v>
      </c>
      <c r="T12" s="1132">
        <v>21.15</v>
      </c>
      <c r="U12" s="1446">
        <v>342</v>
      </c>
      <c r="V12" s="1281">
        <v>0.46200000000000002</v>
      </c>
      <c r="W12" s="1284">
        <v>1351.92</v>
      </c>
      <c r="X12" s="226">
        <f t="shared" si="1"/>
        <v>7</v>
      </c>
      <c r="Y12" s="339" t="s">
        <v>759</v>
      </c>
      <c r="Z12" s="392" t="s">
        <v>1229</v>
      </c>
      <c r="AA12" s="392" t="s">
        <v>1229</v>
      </c>
      <c r="AB12" s="1304" t="s">
        <v>1229</v>
      </c>
      <c r="AC12" s="1445">
        <v>252</v>
      </c>
      <c r="AD12" s="1281">
        <v>0.29299999999999998</v>
      </c>
      <c r="AE12" s="1296">
        <v>1160.75</v>
      </c>
      <c r="AF12" s="392" t="s">
        <v>1229</v>
      </c>
      <c r="AG12" s="392" t="s">
        <v>1229</v>
      </c>
      <c r="AH12" s="1304" t="s">
        <v>1229</v>
      </c>
      <c r="AI12" s="1445">
        <v>398</v>
      </c>
      <c r="AJ12" s="1281">
        <v>0.55500000000000005</v>
      </c>
      <c r="AK12" s="1296">
        <v>1395.63</v>
      </c>
      <c r="AL12" s="1446">
        <v>121</v>
      </c>
      <c r="AM12" s="1281">
        <v>0.153</v>
      </c>
      <c r="AN12" s="1284">
        <v>1263.19</v>
      </c>
      <c r="AO12" s="1446">
        <v>108</v>
      </c>
      <c r="AP12" s="1281">
        <v>3.51</v>
      </c>
      <c r="AQ12" s="1284">
        <v>32500</v>
      </c>
      <c r="AR12" s="1445">
        <v>9</v>
      </c>
      <c r="AS12" s="1281">
        <v>0.90200000000000002</v>
      </c>
      <c r="AT12" s="1284">
        <v>100231.77</v>
      </c>
    </row>
    <row r="13" spans="1:46" ht="14.25" customHeight="1">
      <c r="A13" s="515">
        <f t="shared" si="0"/>
        <v>8</v>
      </c>
      <c r="B13" s="339" t="s">
        <v>760</v>
      </c>
      <c r="C13" s="392" t="s">
        <v>1229</v>
      </c>
      <c r="D13" s="392" t="s">
        <v>1229</v>
      </c>
      <c r="E13" s="1304" t="s">
        <v>1229</v>
      </c>
      <c r="F13" s="395">
        <v>13254</v>
      </c>
      <c r="G13" s="875">
        <v>27.359000000000002</v>
      </c>
      <c r="H13" s="1305">
        <v>2064.21</v>
      </c>
      <c r="I13" s="370">
        <v>148</v>
      </c>
      <c r="J13" s="875">
        <v>0.46100000000000002</v>
      </c>
      <c r="K13" s="376">
        <v>3113.51</v>
      </c>
      <c r="L13" s="392" t="s">
        <v>1229</v>
      </c>
      <c r="M13" s="392" t="s">
        <v>1229</v>
      </c>
      <c r="N13" s="1304" t="s">
        <v>1229</v>
      </c>
      <c r="O13" s="392" t="s">
        <v>1229</v>
      </c>
      <c r="P13" s="392" t="s">
        <v>1229</v>
      </c>
      <c r="Q13" s="1304" t="s">
        <v>1229</v>
      </c>
      <c r="R13" s="392" t="s">
        <v>1229</v>
      </c>
      <c r="S13" s="392" t="s">
        <v>1229</v>
      </c>
      <c r="T13" s="1304" t="s">
        <v>1229</v>
      </c>
      <c r="U13" s="392" t="s">
        <v>1229</v>
      </c>
      <c r="V13" s="392" t="s">
        <v>1229</v>
      </c>
      <c r="W13" s="1304" t="s">
        <v>1229</v>
      </c>
      <c r="X13" s="226">
        <f t="shared" si="1"/>
        <v>8</v>
      </c>
      <c r="Y13" s="339" t="s">
        <v>760</v>
      </c>
      <c r="Z13" s="392" t="s">
        <v>1229</v>
      </c>
      <c r="AA13" s="392" t="s">
        <v>1229</v>
      </c>
      <c r="AB13" s="1304" t="s">
        <v>1229</v>
      </c>
      <c r="AC13" s="1446"/>
      <c r="AD13" s="1281"/>
      <c r="AE13" s="1284"/>
      <c r="AF13" s="392" t="s">
        <v>1229</v>
      </c>
      <c r="AG13" s="392" t="s">
        <v>1229</v>
      </c>
      <c r="AH13" s="1304" t="s">
        <v>1229</v>
      </c>
      <c r="AI13" s="392" t="s">
        <v>1229</v>
      </c>
      <c r="AJ13" s="392" t="s">
        <v>1229</v>
      </c>
      <c r="AK13" s="1304" t="s">
        <v>1229</v>
      </c>
      <c r="AL13" s="1304" t="s">
        <v>1229</v>
      </c>
      <c r="AM13" s="1304" t="s">
        <v>1229</v>
      </c>
      <c r="AN13" s="1304" t="s">
        <v>1229</v>
      </c>
      <c r="AO13" s="1304" t="s">
        <v>1229</v>
      </c>
      <c r="AP13" s="1304" t="s">
        <v>1229</v>
      </c>
      <c r="AQ13" s="1296">
        <v>20022</v>
      </c>
      <c r="AR13" s="392" t="s">
        <v>1229</v>
      </c>
      <c r="AS13" s="392" t="s">
        <v>1229</v>
      </c>
      <c r="AT13" s="1304" t="s">
        <v>1229</v>
      </c>
    </row>
    <row r="14" spans="1:46" ht="14.25" customHeight="1">
      <c r="A14" s="515">
        <f t="shared" si="0"/>
        <v>9</v>
      </c>
      <c r="B14" s="339" t="s">
        <v>1194</v>
      </c>
      <c r="C14" s="392" t="s">
        <v>1229</v>
      </c>
      <c r="D14" s="392" t="s">
        <v>1229</v>
      </c>
      <c r="E14" s="1304" t="s">
        <v>1229</v>
      </c>
      <c r="F14" s="395">
        <v>2749</v>
      </c>
      <c r="G14" s="875">
        <v>4.3659999999999997</v>
      </c>
      <c r="H14" s="1305">
        <v>1588.28</v>
      </c>
      <c r="I14" s="370">
        <v>752</v>
      </c>
      <c r="J14" s="875">
        <v>2.0139999999999998</v>
      </c>
      <c r="K14" s="376">
        <v>2678.36</v>
      </c>
      <c r="L14" s="392" t="s">
        <v>1229</v>
      </c>
      <c r="M14" s="392" t="s">
        <v>1229</v>
      </c>
      <c r="N14" s="1304" t="s">
        <v>1229</v>
      </c>
      <c r="O14" s="392" t="s">
        <v>1229</v>
      </c>
      <c r="P14" s="392" t="s">
        <v>1229</v>
      </c>
      <c r="Q14" s="1304" t="s">
        <v>1229</v>
      </c>
      <c r="R14" s="392" t="s">
        <v>1229</v>
      </c>
      <c r="S14" s="392" t="s">
        <v>1229</v>
      </c>
      <c r="T14" s="1304" t="s">
        <v>1229</v>
      </c>
      <c r="U14" s="392" t="s">
        <v>1229</v>
      </c>
      <c r="V14" s="392" t="s">
        <v>1229</v>
      </c>
      <c r="W14" s="1304" t="s">
        <v>1229</v>
      </c>
      <c r="X14" s="226">
        <f t="shared" si="1"/>
        <v>9</v>
      </c>
      <c r="Y14" s="339" t="s">
        <v>1194</v>
      </c>
      <c r="Z14" s="392" t="s">
        <v>1229</v>
      </c>
      <c r="AA14" s="392" t="s">
        <v>1229</v>
      </c>
      <c r="AB14" s="1304" t="s">
        <v>1229</v>
      </c>
      <c r="AC14" s="1446">
        <v>455</v>
      </c>
      <c r="AD14" s="1281">
        <v>0.52800000000000002</v>
      </c>
      <c r="AE14" s="1296">
        <v>1160.75</v>
      </c>
      <c r="AF14" s="392" t="s">
        <v>1229</v>
      </c>
      <c r="AG14" s="392" t="s">
        <v>1229</v>
      </c>
      <c r="AH14" s="1304" t="s">
        <v>1229</v>
      </c>
      <c r="AI14" s="1284">
        <v>235</v>
      </c>
      <c r="AJ14" s="1281">
        <v>0.32800000000000001</v>
      </c>
      <c r="AK14" s="1296">
        <v>1395.63</v>
      </c>
      <c r="AL14" s="1445">
        <v>616</v>
      </c>
      <c r="AM14" s="1281">
        <v>0.77800000000000002</v>
      </c>
      <c r="AN14" s="1296">
        <v>1263.19</v>
      </c>
      <c r="AO14" s="1296">
        <v>168</v>
      </c>
      <c r="AP14" s="1281">
        <v>3.1760000000000002</v>
      </c>
      <c r="AQ14" s="1296">
        <v>18903</v>
      </c>
      <c r="AR14" s="392" t="s">
        <v>1229</v>
      </c>
      <c r="AS14" s="392" t="s">
        <v>1229</v>
      </c>
      <c r="AT14" s="1304" t="s">
        <v>1229</v>
      </c>
    </row>
    <row r="15" spans="1:46" ht="14.25" customHeight="1">
      <c r="A15" s="515">
        <f t="shared" si="0"/>
        <v>10</v>
      </c>
      <c r="B15" s="339" t="s">
        <v>1221</v>
      </c>
      <c r="C15" s="392" t="s">
        <v>1229</v>
      </c>
      <c r="D15" s="392" t="s">
        <v>1229</v>
      </c>
      <c r="E15" s="1304" t="s">
        <v>1229</v>
      </c>
      <c r="F15" s="395">
        <v>2110</v>
      </c>
      <c r="G15" s="875">
        <v>3.5990000000000002</v>
      </c>
      <c r="H15" s="1305">
        <v>1705.71</v>
      </c>
      <c r="I15" s="370">
        <v>5575</v>
      </c>
      <c r="J15" s="875">
        <v>17.14</v>
      </c>
      <c r="K15" s="376">
        <v>3074.43</v>
      </c>
      <c r="L15" s="392" t="s">
        <v>1229</v>
      </c>
      <c r="M15" s="392" t="s">
        <v>1229</v>
      </c>
      <c r="N15" s="1304" t="s">
        <v>1229</v>
      </c>
      <c r="O15" s="392" t="s">
        <v>1229</v>
      </c>
      <c r="P15" s="392" t="s">
        <v>1229</v>
      </c>
      <c r="Q15" s="1304" t="s">
        <v>1229</v>
      </c>
      <c r="R15" s="392" t="s">
        <v>1229</v>
      </c>
      <c r="S15" s="392" t="s">
        <v>1229</v>
      </c>
      <c r="T15" s="1304" t="s">
        <v>1229</v>
      </c>
      <c r="U15" s="392" t="s">
        <v>1229</v>
      </c>
      <c r="V15" s="392" t="s">
        <v>1229</v>
      </c>
      <c r="W15" s="1304" t="s">
        <v>1229</v>
      </c>
      <c r="X15" s="226">
        <f t="shared" si="1"/>
        <v>10</v>
      </c>
      <c r="Y15" s="339" t="s">
        <v>1221</v>
      </c>
      <c r="Z15" s="392" t="s">
        <v>1229</v>
      </c>
      <c r="AA15" s="392" t="s">
        <v>1229</v>
      </c>
      <c r="AB15" s="1304" t="s">
        <v>1229</v>
      </c>
      <c r="AC15" s="1445">
        <v>200</v>
      </c>
      <c r="AD15" s="1281">
        <v>0.23200000000000001</v>
      </c>
      <c r="AE15" s="1296">
        <v>1160.75</v>
      </c>
      <c r="AF15" s="392" t="s">
        <v>1229</v>
      </c>
      <c r="AG15" s="392" t="s">
        <v>1229</v>
      </c>
      <c r="AH15" s="1304" t="s">
        <v>1229</v>
      </c>
      <c r="AI15" s="392" t="s">
        <v>1229</v>
      </c>
      <c r="AJ15" s="392" t="s">
        <v>1229</v>
      </c>
      <c r="AK15" s="1304" t="s">
        <v>1229</v>
      </c>
      <c r="AL15" s="392" t="s">
        <v>1229</v>
      </c>
      <c r="AM15" s="392" t="s">
        <v>1229</v>
      </c>
      <c r="AN15" s="1304" t="s">
        <v>1229</v>
      </c>
      <c r="AO15" s="1304" t="s">
        <v>1229</v>
      </c>
      <c r="AP15" s="1304" t="s">
        <v>1229</v>
      </c>
      <c r="AQ15" s="1296">
        <v>27911</v>
      </c>
      <c r="AR15" s="392" t="s">
        <v>1229</v>
      </c>
      <c r="AS15" s="392" t="s">
        <v>1229</v>
      </c>
      <c r="AT15" s="1304" t="s">
        <v>1229</v>
      </c>
    </row>
    <row r="16" spans="1:46" ht="14.25" customHeight="1">
      <c r="A16" s="515">
        <f t="shared" si="0"/>
        <v>11</v>
      </c>
      <c r="B16" s="339" t="s">
        <v>761</v>
      </c>
      <c r="C16" s="930">
        <v>597</v>
      </c>
      <c r="D16" s="1281">
        <v>2.0419999999999998</v>
      </c>
      <c r="E16" s="1445">
        <v>3421.23</v>
      </c>
      <c r="F16" s="395">
        <v>32784</v>
      </c>
      <c r="G16" s="875">
        <v>87.619</v>
      </c>
      <c r="H16" s="1305">
        <v>2672.61</v>
      </c>
      <c r="I16" s="370">
        <v>2300</v>
      </c>
      <c r="J16" s="875">
        <v>6.2469999999999999</v>
      </c>
      <c r="K16" s="376">
        <v>2716.1</v>
      </c>
      <c r="L16" s="916">
        <v>394</v>
      </c>
      <c r="M16" s="1281">
        <v>0.76500000000000001</v>
      </c>
      <c r="N16" s="1296">
        <v>1941</v>
      </c>
      <c r="O16" s="392" t="s">
        <v>1229</v>
      </c>
      <c r="P16" s="392" t="s">
        <v>1229</v>
      </c>
      <c r="Q16" s="1304" t="s">
        <v>1229</v>
      </c>
      <c r="R16" s="916">
        <v>544</v>
      </c>
      <c r="S16" s="1281">
        <v>12.523</v>
      </c>
      <c r="T16" s="1132">
        <v>23.02</v>
      </c>
      <c r="U16" s="1446">
        <v>39</v>
      </c>
      <c r="V16" s="1281">
        <v>2.7E-2</v>
      </c>
      <c r="W16" s="1284">
        <v>697.8</v>
      </c>
      <c r="X16" s="226">
        <f t="shared" si="1"/>
        <v>11</v>
      </c>
      <c r="Y16" s="339" t="s">
        <v>761</v>
      </c>
      <c r="Z16" s="1446">
        <v>256</v>
      </c>
      <c r="AA16" s="1281">
        <v>0.20599999999999999</v>
      </c>
      <c r="AB16" s="1284">
        <v>803.85</v>
      </c>
      <c r="AC16" s="1445">
        <v>12</v>
      </c>
      <c r="AD16" s="1281">
        <v>0.01</v>
      </c>
      <c r="AE16" s="1296">
        <v>870.15</v>
      </c>
      <c r="AF16" s="1446">
        <v>130</v>
      </c>
      <c r="AG16" s="1281">
        <v>0.14499999999999999</v>
      </c>
      <c r="AH16" s="1284">
        <v>1113.3800000000001</v>
      </c>
      <c r="AI16" s="1284">
        <v>1048</v>
      </c>
      <c r="AJ16" s="1281">
        <v>1.32</v>
      </c>
      <c r="AK16" s="1296">
        <v>1259.1300000000001</v>
      </c>
      <c r="AL16" s="1296">
        <v>1055</v>
      </c>
      <c r="AM16" s="1281">
        <v>1.3460000000000001</v>
      </c>
      <c r="AN16" s="1445">
        <v>1276.2</v>
      </c>
      <c r="AO16" s="1446">
        <v>348</v>
      </c>
      <c r="AP16" s="1281">
        <v>7.7729999999999997</v>
      </c>
      <c r="AQ16" s="1284">
        <v>22335</v>
      </c>
      <c r="AR16" s="392" t="s">
        <v>1229</v>
      </c>
      <c r="AS16" s="392" t="s">
        <v>1229</v>
      </c>
      <c r="AT16" s="1304" t="s">
        <v>1229</v>
      </c>
    </row>
    <row r="17" spans="1:46" ht="14.25" customHeight="1">
      <c r="A17" s="515">
        <f t="shared" si="0"/>
        <v>12</v>
      </c>
      <c r="B17" s="339" t="s">
        <v>762</v>
      </c>
      <c r="C17" s="930">
        <v>2044</v>
      </c>
      <c r="D17" s="1281">
        <v>5.2809999999999997</v>
      </c>
      <c r="E17" s="1445">
        <v>2583.87</v>
      </c>
      <c r="F17" s="395">
        <v>18289</v>
      </c>
      <c r="G17" s="875">
        <v>44.917999999999999</v>
      </c>
      <c r="H17" s="1305">
        <v>2456.02</v>
      </c>
      <c r="I17" s="370">
        <v>5789</v>
      </c>
      <c r="J17" s="875">
        <v>15.771000000000001</v>
      </c>
      <c r="K17" s="376">
        <v>2724.35</v>
      </c>
      <c r="L17" s="916">
        <v>602</v>
      </c>
      <c r="M17" s="1281">
        <v>1.7789999999999999</v>
      </c>
      <c r="N17" s="1296">
        <v>2954.91</v>
      </c>
      <c r="O17" s="392" t="s">
        <v>1229</v>
      </c>
      <c r="P17" s="392" t="s">
        <v>1229</v>
      </c>
      <c r="Q17" s="1304" t="s">
        <v>1229</v>
      </c>
      <c r="R17" s="916">
        <v>853</v>
      </c>
      <c r="S17" s="1281">
        <v>17.026</v>
      </c>
      <c r="T17" s="1132">
        <v>19.96</v>
      </c>
      <c r="U17" s="1446">
        <v>367</v>
      </c>
      <c r="V17" s="1281">
        <v>0.53600000000000003</v>
      </c>
      <c r="W17" s="1284">
        <v>1460.69</v>
      </c>
      <c r="X17" s="226">
        <f t="shared" si="1"/>
        <v>12</v>
      </c>
      <c r="Y17" s="339" t="s">
        <v>762</v>
      </c>
      <c r="Z17" s="392" t="s">
        <v>1229</v>
      </c>
      <c r="AA17" s="392" t="s">
        <v>1229</v>
      </c>
      <c r="AB17" s="1304" t="s">
        <v>1229</v>
      </c>
      <c r="AC17" s="1445">
        <v>47</v>
      </c>
      <c r="AD17" s="1281">
        <v>5.5E-2</v>
      </c>
      <c r="AE17" s="1296">
        <v>1160.75</v>
      </c>
      <c r="AF17" s="1446">
        <v>67</v>
      </c>
      <c r="AG17" s="1281">
        <v>7.4999999999999997E-2</v>
      </c>
      <c r="AH17" s="1284">
        <v>1113.3800000000001</v>
      </c>
      <c r="AI17" s="1284">
        <v>2541</v>
      </c>
      <c r="AJ17" s="1281">
        <v>3.98</v>
      </c>
      <c r="AK17" s="1296">
        <v>1566.34</v>
      </c>
      <c r="AL17" s="1296">
        <v>659</v>
      </c>
      <c r="AM17" s="1282">
        <v>0.81200000000000006</v>
      </c>
      <c r="AN17" s="1445">
        <v>1232.23</v>
      </c>
      <c r="AO17" s="1446">
        <v>1228</v>
      </c>
      <c r="AP17" s="1281">
        <v>40.619</v>
      </c>
      <c r="AQ17" s="1284">
        <v>33077</v>
      </c>
      <c r="AR17" s="392" t="s">
        <v>1229</v>
      </c>
      <c r="AS17" s="392" t="s">
        <v>1229</v>
      </c>
      <c r="AT17" s="1304" t="s">
        <v>1229</v>
      </c>
    </row>
    <row r="18" spans="1:46" ht="14.25" customHeight="1">
      <c r="A18" s="515">
        <f t="shared" si="0"/>
        <v>13</v>
      </c>
      <c r="B18" s="339" t="s">
        <v>1223</v>
      </c>
      <c r="C18" s="916">
        <v>253</v>
      </c>
      <c r="D18" s="1281">
        <v>0.65400000000000003</v>
      </c>
      <c r="E18" s="1296">
        <v>2583.87</v>
      </c>
      <c r="F18" s="395">
        <v>2224</v>
      </c>
      <c r="G18" s="875">
        <v>3.3250000000000002</v>
      </c>
      <c r="H18" s="1305">
        <v>1494.97</v>
      </c>
      <c r="I18" s="370">
        <v>3514</v>
      </c>
      <c r="J18" s="875">
        <v>11.9</v>
      </c>
      <c r="K18" s="376">
        <v>3386.39</v>
      </c>
      <c r="L18" s="392" t="s">
        <v>1229</v>
      </c>
      <c r="M18" s="392" t="s">
        <v>1229</v>
      </c>
      <c r="N18" s="1304" t="s">
        <v>1229</v>
      </c>
      <c r="O18" s="392" t="s">
        <v>1229</v>
      </c>
      <c r="P18" s="392" t="s">
        <v>1229</v>
      </c>
      <c r="Q18" s="1304" t="s">
        <v>1229</v>
      </c>
      <c r="R18" s="392" t="s">
        <v>1229</v>
      </c>
      <c r="S18" s="392" t="s">
        <v>1229</v>
      </c>
      <c r="T18" s="1304" t="s">
        <v>1229</v>
      </c>
      <c r="U18" s="392" t="s">
        <v>1229</v>
      </c>
      <c r="V18" s="392" t="s">
        <v>1229</v>
      </c>
      <c r="W18" s="1304" t="s">
        <v>1229</v>
      </c>
      <c r="X18" s="226">
        <f t="shared" si="1"/>
        <v>13</v>
      </c>
      <c r="Y18" s="339" t="s">
        <v>1223</v>
      </c>
      <c r="Z18" s="392" t="s">
        <v>1229</v>
      </c>
      <c r="AA18" s="392" t="s">
        <v>1229</v>
      </c>
      <c r="AB18" s="1304" t="s">
        <v>1229</v>
      </c>
      <c r="AC18" s="1445">
        <v>91</v>
      </c>
      <c r="AD18" s="1281">
        <v>0.106</v>
      </c>
      <c r="AE18" s="1296">
        <v>1160.75</v>
      </c>
      <c r="AF18" s="392" t="s">
        <v>1229</v>
      </c>
      <c r="AG18" s="392" t="s">
        <v>1229</v>
      </c>
      <c r="AH18" s="1304" t="s">
        <v>1229</v>
      </c>
      <c r="AI18" s="392" t="s">
        <v>1229</v>
      </c>
      <c r="AJ18" s="392" t="s">
        <v>1229</v>
      </c>
      <c r="AK18" s="1304" t="s">
        <v>1229</v>
      </c>
      <c r="AL18" s="392" t="s">
        <v>1229</v>
      </c>
      <c r="AM18" s="392" t="s">
        <v>1229</v>
      </c>
      <c r="AN18" s="1304" t="s">
        <v>1229</v>
      </c>
      <c r="AO18" s="1446">
        <v>23</v>
      </c>
      <c r="AP18" s="875">
        <v>0.75900000000000001</v>
      </c>
      <c r="AQ18" s="1284">
        <v>33000</v>
      </c>
      <c r="AR18" s="392" t="s">
        <v>1229</v>
      </c>
      <c r="AS18" s="392" t="s">
        <v>1229</v>
      </c>
      <c r="AT18" s="1304" t="s">
        <v>1229</v>
      </c>
    </row>
    <row r="19" spans="1:46" ht="14.25" customHeight="1">
      <c r="A19" s="515">
        <f t="shared" si="0"/>
        <v>14</v>
      </c>
      <c r="B19" s="339" t="s">
        <v>1224</v>
      </c>
      <c r="C19" s="916">
        <v>183</v>
      </c>
      <c r="D19" s="1281">
        <v>0.47299999999999998</v>
      </c>
      <c r="E19" s="1296">
        <v>2583.87</v>
      </c>
      <c r="F19" s="395">
        <v>1941</v>
      </c>
      <c r="G19" s="875">
        <v>2.552</v>
      </c>
      <c r="H19" s="1305">
        <v>1314.59</v>
      </c>
      <c r="I19" s="370">
        <v>3566</v>
      </c>
      <c r="J19" s="875">
        <v>14.465</v>
      </c>
      <c r="K19" s="376">
        <v>4056.41</v>
      </c>
      <c r="L19" s="392" t="s">
        <v>1229</v>
      </c>
      <c r="M19" s="392" t="s">
        <v>1229</v>
      </c>
      <c r="N19" s="1304" t="s">
        <v>1229</v>
      </c>
      <c r="O19" s="392" t="s">
        <v>1229</v>
      </c>
      <c r="P19" s="392" t="s">
        <v>1229</v>
      </c>
      <c r="Q19" s="1304" t="s">
        <v>1229</v>
      </c>
      <c r="R19" s="916">
        <v>23</v>
      </c>
      <c r="S19" s="1281">
        <v>0.48599999999999999</v>
      </c>
      <c r="T19" s="1132">
        <v>21.15</v>
      </c>
      <c r="U19" s="392" t="s">
        <v>1229</v>
      </c>
      <c r="V19" s="392" t="s">
        <v>1229</v>
      </c>
      <c r="W19" s="1304" t="s">
        <v>1229</v>
      </c>
      <c r="X19" s="226">
        <f t="shared" si="1"/>
        <v>14</v>
      </c>
      <c r="Y19" s="339" t="s">
        <v>1224</v>
      </c>
      <c r="Z19" s="392" t="s">
        <v>1229</v>
      </c>
      <c r="AA19" s="392" t="s">
        <v>1229</v>
      </c>
      <c r="AB19" s="1304" t="s">
        <v>1229</v>
      </c>
      <c r="AC19" s="1445">
        <v>325</v>
      </c>
      <c r="AD19" s="1281">
        <v>0.377</v>
      </c>
      <c r="AE19" s="1296">
        <v>1160.75</v>
      </c>
      <c r="AF19" s="392" t="s">
        <v>1229</v>
      </c>
      <c r="AG19" s="392" t="s">
        <v>1229</v>
      </c>
      <c r="AH19" s="1304" t="s">
        <v>1229</v>
      </c>
      <c r="AI19" s="1446">
        <v>79</v>
      </c>
      <c r="AJ19" s="1281">
        <v>3.9E-2</v>
      </c>
      <c r="AK19" s="1284">
        <v>499.99</v>
      </c>
      <c r="AL19" s="392" t="s">
        <v>1229</v>
      </c>
      <c r="AM19" s="392" t="s">
        <v>1229</v>
      </c>
      <c r="AN19" s="1304" t="s">
        <v>1229</v>
      </c>
      <c r="AO19" s="1446">
        <v>644</v>
      </c>
      <c r="AP19" s="1281">
        <v>17.167000000000002</v>
      </c>
      <c r="AQ19" s="1284">
        <v>26657</v>
      </c>
      <c r="AR19" s="392" t="s">
        <v>1229</v>
      </c>
      <c r="AS19" s="392" t="s">
        <v>1229</v>
      </c>
      <c r="AT19" s="1304" t="s">
        <v>1229</v>
      </c>
    </row>
    <row r="20" spans="1:46" ht="14.25" customHeight="1">
      <c r="A20" s="515">
        <f t="shared" si="0"/>
        <v>15</v>
      </c>
      <c r="B20" s="339" t="s">
        <v>1197</v>
      </c>
      <c r="C20" s="392" t="s">
        <v>1229</v>
      </c>
      <c r="D20" s="392" t="s">
        <v>1229</v>
      </c>
      <c r="E20" s="1304" t="s">
        <v>1229</v>
      </c>
      <c r="F20" s="395">
        <v>34705</v>
      </c>
      <c r="G20" s="875">
        <v>80.644000000000005</v>
      </c>
      <c r="H20" s="1305">
        <v>2323.71</v>
      </c>
      <c r="I20" s="370">
        <v>533</v>
      </c>
      <c r="J20" s="875">
        <v>1.907</v>
      </c>
      <c r="K20" s="376">
        <v>3578.01</v>
      </c>
      <c r="L20" s="916">
        <v>148</v>
      </c>
      <c r="M20" s="1281">
        <v>0.437</v>
      </c>
      <c r="N20" s="1296">
        <v>2954.91</v>
      </c>
      <c r="O20" s="392" t="s">
        <v>1229</v>
      </c>
      <c r="P20" s="392" t="s">
        <v>1229</v>
      </c>
      <c r="Q20" s="1304" t="s">
        <v>1229</v>
      </c>
      <c r="R20" s="916">
        <v>7</v>
      </c>
      <c r="S20" s="1281">
        <v>0.14799999999999999</v>
      </c>
      <c r="T20" s="1132">
        <v>21.15</v>
      </c>
      <c r="U20" s="1446">
        <v>27</v>
      </c>
      <c r="V20" s="1281">
        <v>2.9000000000000001E-2</v>
      </c>
      <c r="W20" s="1284">
        <v>1067.94</v>
      </c>
      <c r="X20" s="226">
        <f t="shared" si="1"/>
        <v>15</v>
      </c>
      <c r="Y20" s="339" t="s">
        <v>1197</v>
      </c>
      <c r="Z20" s="1446">
        <v>144</v>
      </c>
      <c r="AA20" s="1281">
        <v>0.11600000000000001</v>
      </c>
      <c r="AB20" s="1284">
        <v>803.85</v>
      </c>
      <c r="AC20" s="1445">
        <v>11</v>
      </c>
      <c r="AD20" s="1281">
        <v>1.2999999999999999E-2</v>
      </c>
      <c r="AE20" s="1296">
        <v>1160.75</v>
      </c>
      <c r="AF20" s="392" t="s">
        <v>1229</v>
      </c>
      <c r="AG20" s="392" t="s">
        <v>1229</v>
      </c>
      <c r="AH20" s="1304" t="s">
        <v>1229</v>
      </c>
      <c r="AI20" s="1284">
        <v>35</v>
      </c>
      <c r="AJ20" s="1281">
        <v>1.7999999999999999E-2</v>
      </c>
      <c r="AK20" s="1296">
        <v>499.99</v>
      </c>
      <c r="AL20" s="392" t="s">
        <v>1229</v>
      </c>
      <c r="AM20" s="392" t="s">
        <v>1229</v>
      </c>
      <c r="AN20" s="1304" t="s">
        <v>1229</v>
      </c>
      <c r="AO20" s="1304" t="s">
        <v>1229</v>
      </c>
      <c r="AP20" s="1304" t="s">
        <v>1229</v>
      </c>
      <c r="AQ20" s="1284">
        <v>25136</v>
      </c>
      <c r="AR20" s="392" t="s">
        <v>1229</v>
      </c>
      <c r="AS20" s="392" t="s">
        <v>1229</v>
      </c>
      <c r="AT20" s="1304" t="s">
        <v>1229</v>
      </c>
    </row>
    <row r="21" spans="1:46" ht="14.25" customHeight="1">
      <c r="A21" s="515">
        <f t="shared" si="0"/>
        <v>16</v>
      </c>
      <c r="B21" s="339" t="s">
        <v>1198</v>
      </c>
      <c r="C21" s="392" t="s">
        <v>1229</v>
      </c>
      <c r="D21" s="392" t="s">
        <v>1229</v>
      </c>
      <c r="E21" s="1304" t="s">
        <v>1229</v>
      </c>
      <c r="F21" s="395">
        <v>40433</v>
      </c>
      <c r="G21" s="875">
        <v>113.26</v>
      </c>
      <c r="H21" s="1305">
        <v>2801.19</v>
      </c>
      <c r="I21" s="370">
        <v>6440</v>
      </c>
      <c r="J21" s="875">
        <v>19.475000000000001</v>
      </c>
      <c r="K21" s="376">
        <v>3024.07</v>
      </c>
      <c r="L21" s="392" t="s">
        <v>1229</v>
      </c>
      <c r="M21" s="392" t="s">
        <v>1229</v>
      </c>
      <c r="N21" s="1304" t="s">
        <v>1229</v>
      </c>
      <c r="O21" s="392" t="s">
        <v>1229</v>
      </c>
      <c r="P21" s="392" t="s">
        <v>1229</v>
      </c>
      <c r="Q21" s="1304" t="s">
        <v>1229</v>
      </c>
      <c r="R21" s="392" t="s">
        <v>1229</v>
      </c>
      <c r="S21" s="392" t="s">
        <v>1229</v>
      </c>
      <c r="T21" s="1304" t="s">
        <v>1229</v>
      </c>
      <c r="U21" s="392" t="s">
        <v>1229</v>
      </c>
      <c r="V21" s="392" t="s">
        <v>1229</v>
      </c>
      <c r="W21" s="1304" t="s">
        <v>1229</v>
      </c>
      <c r="X21" s="226">
        <f t="shared" si="1"/>
        <v>16</v>
      </c>
      <c r="Y21" s="339" t="s">
        <v>1198</v>
      </c>
      <c r="Z21" s="392" t="s">
        <v>1229</v>
      </c>
      <c r="AA21" s="392" t="s">
        <v>1229</v>
      </c>
      <c r="AB21" s="1304" t="s">
        <v>1229</v>
      </c>
      <c r="AC21" s="1446">
        <v>56</v>
      </c>
      <c r="AD21" s="1281">
        <v>6.5000000000000002E-2</v>
      </c>
      <c r="AE21" s="1284">
        <v>1160.75</v>
      </c>
      <c r="AF21" s="392" t="s">
        <v>1229</v>
      </c>
      <c r="AG21" s="392" t="s">
        <v>1229</v>
      </c>
      <c r="AH21" s="1304" t="s">
        <v>1229</v>
      </c>
      <c r="AI21" s="1445">
        <v>73</v>
      </c>
      <c r="AJ21" s="1281">
        <v>3.4000000000000002E-2</v>
      </c>
      <c r="AK21" s="1284">
        <v>459.75</v>
      </c>
      <c r="AL21" s="1445">
        <v>107</v>
      </c>
      <c r="AM21" s="1281">
        <v>0.13500000000000001</v>
      </c>
      <c r="AN21" s="1445">
        <v>1263.19</v>
      </c>
      <c r="AO21" s="1446">
        <v>92</v>
      </c>
      <c r="AP21" s="1281">
        <v>2.653</v>
      </c>
      <c r="AQ21" s="1284">
        <v>28836</v>
      </c>
      <c r="AR21" s="392" t="s">
        <v>1229</v>
      </c>
      <c r="AS21" s="392" t="s">
        <v>1229</v>
      </c>
      <c r="AT21" s="1304" t="s">
        <v>1229</v>
      </c>
    </row>
    <row r="22" spans="1:46" ht="14.25" customHeight="1">
      <c r="A22" s="515">
        <f t="shared" si="0"/>
        <v>17</v>
      </c>
      <c r="B22" s="339" t="s">
        <v>1225</v>
      </c>
      <c r="C22" s="916">
        <v>53</v>
      </c>
      <c r="D22" s="1281">
        <v>0.13700000000000001</v>
      </c>
      <c r="E22" s="1296">
        <v>2583.87</v>
      </c>
      <c r="F22" s="395">
        <v>6996</v>
      </c>
      <c r="G22" s="875">
        <v>14.241</v>
      </c>
      <c r="H22" s="1305">
        <v>2035.62</v>
      </c>
      <c r="I22" s="370">
        <v>3246</v>
      </c>
      <c r="J22" s="875">
        <v>11.272</v>
      </c>
      <c r="K22" s="376">
        <v>3472.48</v>
      </c>
      <c r="L22" s="392" t="s">
        <v>1229</v>
      </c>
      <c r="M22" s="392" t="s">
        <v>1229</v>
      </c>
      <c r="N22" s="1304" t="s">
        <v>1229</v>
      </c>
      <c r="O22" s="392" t="s">
        <v>1229</v>
      </c>
      <c r="P22" s="392" t="s">
        <v>1229</v>
      </c>
      <c r="Q22" s="1304" t="s">
        <v>1229</v>
      </c>
      <c r="R22" s="392" t="s">
        <v>1229</v>
      </c>
      <c r="S22" s="392" t="s">
        <v>1229</v>
      </c>
      <c r="T22" s="1304" t="s">
        <v>1229</v>
      </c>
      <c r="U22" s="1446">
        <v>20</v>
      </c>
      <c r="V22" s="1281">
        <v>1.0999999999999999E-2</v>
      </c>
      <c r="W22" s="1284">
        <v>542.42999999999995</v>
      </c>
      <c r="X22" s="226">
        <f t="shared" si="1"/>
        <v>17</v>
      </c>
      <c r="Y22" s="339" t="s">
        <v>1225</v>
      </c>
      <c r="Z22" s="1445">
        <v>2</v>
      </c>
      <c r="AA22" s="1281">
        <v>2E-3</v>
      </c>
      <c r="AB22" s="1296">
        <v>803.85</v>
      </c>
      <c r="AC22" s="1446">
        <v>104</v>
      </c>
      <c r="AD22" s="1281">
        <v>0.108</v>
      </c>
      <c r="AE22" s="1284">
        <v>1034.72</v>
      </c>
      <c r="AF22" s="392" t="s">
        <v>1229</v>
      </c>
      <c r="AG22" s="392" t="s">
        <v>1229</v>
      </c>
      <c r="AH22" s="1304" t="s">
        <v>1229</v>
      </c>
      <c r="AI22" s="1446">
        <v>5</v>
      </c>
      <c r="AJ22" s="1281">
        <v>3.0000000000000001E-3</v>
      </c>
      <c r="AK22" s="1284">
        <v>629.79</v>
      </c>
      <c r="AL22" s="1446">
        <v>1</v>
      </c>
      <c r="AM22" s="1281">
        <v>1E-3</v>
      </c>
      <c r="AN22" s="1284">
        <v>1263.19</v>
      </c>
      <c r="AO22" s="1446">
        <v>24</v>
      </c>
      <c r="AP22" s="1281">
        <v>0.80400000000000005</v>
      </c>
      <c r="AQ22" s="1284">
        <v>33500</v>
      </c>
      <c r="AR22" s="392" t="s">
        <v>1229</v>
      </c>
      <c r="AS22" s="392" t="s">
        <v>1229</v>
      </c>
      <c r="AT22" s="1304" t="s">
        <v>1229</v>
      </c>
    </row>
    <row r="23" spans="1:46" ht="14.25" customHeight="1">
      <c r="A23" s="515">
        <f t="shared" si="0"/>
        <v>18</v>
      </c>
      <c r="B23" s="339" t="s">
        <v>1226</v>
      </c>
      <c r="C23" s="392" t="s">
        <v>1229</v>
      </c>
      <c r="D23" s="392" t="s">
        <v>1229</v>
      </c>
      <c r="E23" s="1304" t="s">
        <v>1229</v>
      </c>
      <c r="F23" s="395">
        <v>1468</v>
      </c>
      <c r="G23" s="875">
        <v>2.7210000000000001</v>
      </c>
      <c r="H23" s="1305">
        <v>1853.57</v>
      </c>
      <c r="I23" s="370">
        <v>8436</v>
      </c>
      <c r="J23" s="875">
        <v>28.465</v>
      </c>
      <c r="K23" s="376">
        <v>3374.25</v>
      </c>
      <c r="L23" s="392" t="s">
        <v>1229</v>
      </c>
      <c r="M23" s="392" t="s">
        <v>1229</v>
      </c>
      <c r="N23" s="1304" t="s">
        <v>1229</v>
      </c>
      <c r="O23" s="392" t="s">
        <v>1229</v>
      </c>
      <c r="P23" s="392" t="s">
        <v>1229</v>
      </c>
      <c r="Q23" s="1304" t="s">
        <v>1229</v>
      </c>
      <c r="R23" s="916">
        <v>38</v>
      </c>
      <c r="S23" s="1281">
        <v>0.80400000000000005</v>
      </c>
      <c r="T23" s="1132">
        <v>21.15</v>
      </c>
      <c r="U23" s="1446">
        <v>67</v>
      </c>
      <c r="V23" s="1281">
        <v>2.5000000000000001E-2</v>
      </c>
      <c r="W23" s="1284">
        <v>371.58</v>
      </c>
      <c r="X23" s="226">
        <f t="shared" si="1"/>
        <v>18</v>
      </c>
      <c r="Y23" s="339" t="s">
        <v>1226</v>
      </c>
      <c r="Z23" s="1445">
        <v>133</v>
      </c>
      <c r="AA23" s="1281">
        <v>0.107</v>
      </c>
      <c r="AB23" s="1296">
        <v>803.85</v>
      </c>
      <c r="AC23" s="1445">
        <v>45</v>
      </c>
      <c r="AD23" s="1281">
        <v>0.04</v>
      </c>
      <c r="AE23" s="1296">
        <v>893.86</v>
      </c>
      <c r="AF23" s="392" t="s">
        <v>1229</v>
      </c>
      <c r="AG23" s="392" t="s">
        <v>1229</v>
      </c>
      <c r="AH23" s="1304" t="s">
        <v>1229</v>
      </c>
      <c r="AI23" s="1445">
        <v>17</v>
      </c>
      <c r="AJ23" s="1281">
        <v>1.0999999999999999E-2</v>
      </c>
      <c r="AK23" s="1284">
        <v>629.79</v>
      </c>
      <c r="AL23" s="392" t="s">
        <v>1229</v>
      </c>
      <c r="AM23" s="392" t="s">
        <v>1229</v>
      </c>
      <c r="AN23" s="1304" t="s">
        <v>1229</v>
      </c>
      <c r="AO23" s="1446">
        <v>45</v>
      </c>
      <c r="AP23" s="1281">
        <v>0.997</v>
      </c>
      <c r="AQ23" s="1284">
        <v>22165</v>
      </c>
      <c r="AR23" s="1445">
        <v>18</v>
      </c>
      <c r="AS23" s="1281">
        <v>1.804</v>
      </c>
      <c r="AT23" s="1284">
        <v>100231.77</v>
      </c>
    </row>
    <row r="24" spans="1:46" ht="14.25" customHeight="1">
      <c r="A24" s="515">
        <f t="shared" si="0"/>
        <v>19</v>
      </c>
      <c r="B24" s="339" t="s">
        <v>837</v>
      </c>
      <c r="C24" s="392" t="s">
        <v>1229</v>
      </c>
      <c r="D24" s="392" t="s">
        <v>1229</v>
      </c>
      <c r="E24" s="1304" t="s">
        <v>1229</v>
      </c>
      <c r="F24" s="395">
        <v>9149</v>
      </c>
      <c r="G24" s="875">
        <v>18.678999999999998</v>
      </c>
      <c r="H24" s="1305">
        <v>2041.63</v>
      </c>
      <c r="I24" s="370">
        <v>747</v>
      </c>
      <c r="J24" s="875">
        <v>2.0840000000000001</v>
      </c>
      <c r="K24" s="376">
        <v>2789.3</v>
      </c>
      <c r="L24" s="392" t="s">
        <v>1229</v>
      </c>
      <c r="M24" s="392" t="s">
        <v>1229</v>
      </c>
      <c r="N24" s="1304" t="s">
        <v>1229</v>
      </c>
      <c r="O24" s="392" t="s">
        <v>1229</v>
      </c>
      <c r="P24" s="392" t="s">
        <v>1229</v>
      </c>
      <c r="Q24" s="1304" t="s">
        <v>1229</v>
      </c>
      <c r="R24" s="392" t="s">
        <v>1229</v>
      </c>
      <c r="S24" s="392" t="s">
        <v>1229</v>
      </c>
      <c r="T24" s="1304" t="s">
        <v>1229</v>
      </c>
      <c r="U24" s="1446">
        <v>47</v>
      </c>
      <c r="V24" s="1281">
        <v>1.7999999999999999E-2</v>
      </c>
      <c r="W24" s="1284">
        <v>386.72</v>
      </c>
      <c r="X24" s="226">
        <f t="shared" si="1"/>
        <v>19</v>
      </c>
      <c r="Y24" s="339" t="s">
        <v>837</v>
      </c>
      <c r="Z24" s="392" t="s">
        <v>1229</v>
      </c>
      <c r="AA24" s="392" t="s">
        <v>1229</v>
      </c>
      <c r="AB24" s="1304" t="s">
        <v>1229</v>
      </c>
      <c r="AC24" s="1445">
        <v>573</v>
      </c>
      <c r="AD24" s="1281">
        <v>0.64700000000000002</v>
      </c>
      <c r="AE24" s="1296">
        <v>1129.32</v>
      </c>
      <c r="AF24" s="392" t="s">
        <v>1229</v>
      </c>
      <c r="AG24" s="392" t="s">
        <v>1229</v>
      </c>
      <c r="AH24" s="1304" t="s">
        <v>1229</v>
      </c>
      <c r="AI24" s="392" t="s">
        <v>1229</v>
      </c>
      <c r="AJ24" s="392" t="s">
        <v>1229</v>
      </c>
      <c r="AK24" s="1304" t="s">
        <v>1229</v>
      </c>
      <c r="AL24" s="392" t="s">
        <v>1229</v>
      </c>
      <c r="AM24" s="392" t="s">
        <v>1229</v>
      </c>
      <c r="AN24" s="1304" t="s">
        <v>1229</v>
      </c>
      <c r="AO24" s="1446">
        <v>73</v>
      </c>
      <c r="AP24" s="1281">
        <v>2.4460000000000002</v>
      </c>
      <c r="AQ24" s="1284">
        <v>33500</v>
      </c>
      <c r="AR24" s="392" t="s">
        <v>1229</v>
      </c>
      <c r="AS24" s="392" t="s">
        <v>1229</v>
      </c>
      <c r="AT24" s="1304" t="s">
        <v>1229</v>
      </c>
    </row>
    <row r="25" spans="1:46" ht="14.25" customHeight="1">
      <c r="A25" s="515">
        <f t="shared" si="0"/>
        <v>20</v>
      </c>
      <c r="B25" s="339" t="s">
        <v>1203</v>
      </c>
      <c r="C25" s="392" t="s">
        <v>1229</v>
      </c>
      <c r="D25" s="392" t="s">
        <v>1229</v>
      </c>
      <c r="E25" s="1304" t="s">
        <v>1229</v>
      </c>
      <c r="F25" s="395">
        <v>1561</v>
      </c>
      <c r="G25" s="875">
        <v>2.8450000000000002</v>
      </c>
      <c r="H25" s="1305">
        <v>1822.65</v>
      </c>
      <c r="I25" s="370">
        <v>2059</v>
      </c>
      <c r="J25" s="875">
        <v>8.0310000000000006</v>
      </c>
      <c r="K25" s="376">
        <v>3900.55</v>
      </c>
      <c r="L25" s="392" t="s">
        <v>1229</v>
      </c>
      <c r="M25" s="392" t="s">
        <v>1229</v>
      </c>
      <c r="N25" s="1304" t="s">
        <v>1229</v>
      </c>
      <c r="O25" s="392" t="s">
        <v>1229</v>
      </c>
      <c r="P25" s="392" t="s">
        <v>1229</v>
      </c>
      <c r="Q25" s="1304" t="s">
        <v>1229</v>
      </c>
      <c r="R25" s="392" t="s">
        <v>1229</v>
      </c>
      <c r="S25" s="392" t="s">
        <v>1229</v>
      </c>
      <c r="T25" s="1304" t="s">
        <v>1229</v>
      </c>
      <c r="U25" s="392" t="s">
        <v>1229</v>
      </c>
      <c r="V25" s="392" t="s">
        <v>1229</v>
      </c>
      <c r="W25" s="1304" t="s">
        <v>1229</v>
      </c>
      <c r="X25" s="226">
        <f t="shared" si="1"/>
        <v>20</v>
      </c>
      <c r="Y25" s="339" t="s">
        <v>1203</v>
      </c>
      <c r="Z25" s="392" t="s">
        <v>1229</v>
      </c>
      <c r="AA25" s="392" t="s">
        <v>1229</v>
      </c>
      <c r="AB25" s="1304" t="s">
        <v>1229</v>
      </c>
      <c r="AC25" s="1445">
        <v>180</v>
      </c>
      <c r="AD25" s="1281">
        <v>0.20300000000000001</v>
      </c>
      <c r="AE25" s="1296">
        <v>1129.32</v>
      </c>
      <c r="AF25" s="392" t="s">
        <v>1229</v>
      </c>
      <c r="AG25" s="392" t="s">
        <v>1229</v>
      </c>
      <c r="AH25" s="1304" t="s">
        <v>1229</v>
      </c>
      <c r="AI25" s="1284">
        <v>62</v>
      </c>
      <c r="AJ25" s="1281">
        <v>3.9E-2</v>
      </c>
      <c r="AK25" s="1284">
        <v>629.79</v>
      </c>
      <c r="AL25" s="1446">
        <v>1</v>
      </c>
      <c r="AM25" s="1281">
        <v>1E-3</v>
      </c>
      <c r="AN25" s="1284">
        <v>1263.19</v>
      </c>
      <c r="AO25" s="392" t="s">
        <v>1229</v>
      </c>
      <c r="AP25" s="392" t="s">
        <v>1229</v>
      </c>
      <c r="AQ25" s="1284">
        <v>23039</v>
      </c>
      <c r="AR25" s="392" t="s">
        <v>1229</v>
      </c>
      <c r="AS25" s="392" t="s">
        <v>1229</v>
      </c>
      <c r="AT25" s="1304" t="s">
        <v>1229</v>
      </c>
    </row>
    <row r="26" spans="1:46" ht="14.25" customHeight="1">
      <c r="A26" s="515">
        <f t="shared" si="0"/>
        <v>21</v>
      </c>
      <c r="B26" s="339" t="s">
        <v>1204</v>
      </c>
      <c r="C26" s="392" t="s">
        <v>1229</v>
      </c>
      <c r="D26" s="392" t="s">
        <v>1229</v>
      </c>
      <c r="E26" s="1304" t="s">
        <v>1229</v>
      </c>
      <c r="F26" s="395">
        <v>1342</v>
      </c>
      <c r="G26" s="875">
        <v>1.532</v>
      </c>
      <c r="H26" s="1305">
        <v>1141.7</v>
      </c>
      <c r="I26" s="370">
        <v>3852</v>
      </c>
      <c r="J26" s="875">
        <v>13.93</v>
      </c>
      <c r="K26" s="1304">
        <v>3616.28</v>
      </c>
      <c r="L26" s="392" t="s">
        <v>1229</v>
      </c>
      <c r="M26" s="392" t="s">
        <v>1229</v>
      </c>
      <c r="N26" s="1304" t="s">
        <v>1229</v>
      </c>
      <c r="O26" s="392" t="s">
        <v>1229</v>
      </c>
      <c r="P26" s="392" t="s">
        <v>1229</v>
      </c>
      <c r="Q26" s="1304" t="s">
        <v>1229</v>
      </c>
      <c r="R26" s="392" t="s">
        <v>1229</v>
      </c>
      <c r="S26" s="392" t="s">
        <v>1229</v>
      </c>
      <c r="T26" s="1304" t="s">
        <v>1229</v>
      </c>
      <c r="U26" s="392" t="s">
        <v>1229</v>
      </c>
      <c r="V26" s="392" t="s">
        <v>1229</v>
      </c>
      <c r="W26" s="1304" t="s">
        <v>1229</v>
      </c>
      <c r="X26" s="226">
        <f t="shared" si="1"/>
        <v>21</v>
      </c>
      <c r="Y26" s="339" t="s">
        <v>1204</v>
      </c>
      <c r="Z26" s="392" t="s">
        <v>1229</v>
      </c>
      <c r="AA26" s="392" t="s">
        <v>1229</v>
      </c>
      <c r="AB26" s="1304" t="s">
        <v>1229</v>
      </c>
      <c r="AC26" s="1445">
        <v>84</v>
      </c>
      <c r="AD26" s="1281">
        <v>9.5000000000000001E-2</v>
      </c>
      <c r="AE26" s="1296">
        <v>1129.32</v>
      </c>
      <c r="AF26" s="392" t="s">
        <v>1229</v>
      </c>
      <c r="AG26" s="392" t="s">
        <v>1229</v>
      </c>
      <c r="AH26" s="1304" t="s">
        <v>1229</v>
      </c>
      <c r="AI26" s="392" t="s">
        <v>1229</v>
      </c>
      <c r="AJ26" s="392" t="s">
        <v>1229</v>
      </c>
      <c r="AK26" s="1304" t="s">
        <v>1229</v>
      </c>
      <c r="AL26" s="392" t="s">
        <v>1229</v>
      </c>
      <c r="AM26" s="392" t="s">
        <v>1229</v>
      </c>
      <c r="AN26" s="1304" t="s">
        <v>1229</v>
      </c>
      <c r="AO26" s="392" t="s">
        <v>1229</v>
      </c>
      <c r="AP26" s="392" t="s">
        <v>1229</v>
      </c>
      <c r="AQ26" s="1304" t="s">
        <v>1229</v>
      </c>
      <c r="AR26" s="392" t="s">
        <v>1229</v>
      </c>
      <c r="AS26" s="392" t="s">
        <v>1229</v>
      </c>
      <c r="AT26" s="1304" t="s">
        <v>1229</v>
      </c>
    </row>
    <row r="27" spans="1:46" ht="14.25" customHeight="1">
      <c r="A27" s="515">
        <f t="shared" si="0"/>
        <v>22</v>
      </c>
      <c r="B27" s="339" t="s">
        <v>1422</v>
      </c>
      <c r="C27" s="916">
        <v>541</v>
      </c>
      <c r="D27" s="1281">
        <v>1.3979999999999999</v>
      </c>
      <c r="E27" s="1296">
        <v>2583.87</v>
      </c>
      <c r="F27" s="395">
        <v>3141</v>
      </c>
      <c r="G27" s="875">
        <v>6.819</v>
      </c>
      <c r="H27" s="1305">
        <v>2170.9299999999998</v>
      </c>
      <c r="I27" s="370">
        <v>2414</v>
      </c>
      <c r="J27" s="875">
        <v>7.5620000000000003</v>
      </c>
      <c r="K27" s="376">
        <v>3132.58</v>
      </c>
      <c r="L27" s="392" t="s">
        <v>1229</v>
      </c>
      <c r="M27" s="392" t="s">
        <v>1229</v>
      </c>
      <c r="N27" s="1304" t="s">
        <v>1229</v>
      </c>
      <c r="O27" s="392" t="s">
        <v>1229</v>
      </c>
      <c r="P27" s="392" t="s">
        <v>1229</v>
      </c>
      <c r="Q27" s="1304" t="s">
        <v>1229</v>
      </c>
      <c r="R27" s="392" t="s">
        <v>1229</v>
      </c>
      <c r="S27" s="392" t="s">
        <v>1229</v>
      </c>
      <c r="T27" s="1304" t="s">
        <v>1229</v>
      </c>
      <c r="U27" s="1446">
        <v>50</v>
      </c>
      <c r="V27" s="1281">
        <v>1.7000000000000001E-2</v>
      </c>
      <c r="W27" s="1284">
        <v>338.39</v>
      </c>
      <c r="X27" s="226">
        <f t="shared" si="1"/>
        <v>22</v>
      </c>
      <c r="Y27" s="339" t="s">
        <v>1422</v>
      </c>
      <c r="Z27" s="392" t="s">
        <v>1229</v>
      </c>
      <c r="AA27" s="392" t="s">
        <v>1229</v>
      </c>
      <c r="AB27" s="1304" t="s">
        <v>1229</v>
      </c>
      <c r="AC27" s="1445">
        <v>984</v>
      </c>
      <c r="AD27" s="1281">
        <v>1.1100000000000001</v>
      </c>
      <c r="AE27" s="1296">
        <v>1128.3699999999999</v>
      </c>
      <c r="AF27" s="1445">
        <v>2</v>
      </c>
      <c r="AG27" s="1281">
        <v>2E-3</v>
      </c>
      <c r="AH27" s="1296">
        <v>1113.3800000000001</v>
      </c>
      <c r="AI27" s="1445">
        <v>36</v>
      </c>
      <c r="AJ27" s="1281">
        <v>2.3E-2</v>
      </c>
      <c r="AK27" s="1284">
        <v>629.79</v>
      </c>
      <c r="AL27" s="1446">
        <v>2</v>
      </c>
      <c r="AM27" s="1281">
        <v>3.0000000000000001E-3</v>
      </c>
      <c r="AN27" s="1284">
        <v>1263.19</v>
      </c>
      <c r="AO27" s="1446">
        <v>41</v>
      </c>
      <c r="AP27" s="1281">
        <v>0.79600000000000004</v>
      </c>
      <c r="AQ27" s="1284">
        <v>19403</v>
      </c>
      <c r="AR27" s="392" t="s">
        <v>1229</v>
      </c>
      <c r="AS27" s="392" t="s">
        <v>1229</v>
      </c>
      <c r="AT27" s="1304" t="s">
        <v>1229</v>
      </c>
    </row>
    <row r="28" spans="1:46" ht="14.25" customHeight="1">
      <c r="A28" s="515">
        <f t="shared" si="0"/>
        <v>23</v>
      </c>
      <c r="B28" s="339" t="s">
        <v>1423</v>
      </c>
      <c r="C28" s="392" t="s">
        <v>1229</v>
      </c>
      <c r="D28" s="392" t="s">
        <v>1229</v>
      </c>
      <c r="E28" s="1304" t="s">
        <v>1229</v>
      </c>
      <c r="F28" s="395">
        <v>1418</v>
      </c>
      <c r="G28" s="875">
        <v>2.2410000000000001</v>
      </c>
      <c r="H28" s="1305">
        <v>1580.1</v>
      </c>
      <c r="I28" s="370">
        <v>1440</v>
      </c>
      <c r="J28" s="875">
        <v>4.6550000000000002</v>
      </c>
      <c r="K28" s="376">
        <v>3232.95</v>
      </c>
      <c r="L28" s="392" t="s">
        <v>1229</v>
      </c>
      <c r="M28" s="392" t="s">
        <v>1229</v>
      </c>
      <c r="N28" s="1304" t="s">
        <v>1229</v>
      </c>
      <c r="O28" s="392" t="s">
        <v>1229</v>
      </c>
      <c r="P28" s="392" t="s">
        <v>1229</v>
      </c>
      <c r="Q28" s="1304" t="s">
        <v>1229</v>
      </c>
      <c r="R28" s="392" t="s">
        <v>1229</v>
      </c>
      <c r="S28" s="392" t="s">
        <v>1229</v>
      </c>
      <c r="T28" s="1304" t="s">
        <v>1229</v>
      </c>
      <c r="U28" s="1446">
        <v>12</v>
      </c>
      <c r="V28" s="1281">
        <v>7.0000000000000001E-3</v>
      </c>
      <c r="W28" s="1284">
        <v>591.67999999999995</v>
      </c>
      <c r="X28" s="226">
        <f t="shared" si="1"/>
        <v>23</v>
      </c>
      <c r="Y28" s="339" t="s">
        <v>1423</v>
      </c>
      <c r="Z28" s="392" t="s">
        <v>1229</v>
      </c>
      <c r="AA28" s="392" t="s">
        <v>1229</v>
      </c>
      <c r="AB28" s="1304" t="s">
        <v>1229</v>
      </c>
      <c r="AC28" s="1445">
        <v>408</v>
      </c>
      <c r="AD28" s="1281">
        <v>0.45100000000000001</v>
      </c>
      <c r="AE28" s="1296">
        <v>1105.1400000000001</v>
      </c>
      <c r="AF28" s="392" t="s">
        <v>1229</v>
      </c>
      <c r="AG28" s="392" t="s">
        <v>1229</v>
      </c>
      <c r="AH28" s="1304" t="s">
        <v>1229</v>
      </c>
      <c r="AI28" s="392" t="s">
        <v>1229</v>
      </c>
      <c r="AJ28" s="392" t="s">
        <v>1229</v>
      </c>
      <c r="AK28" s="1304" t="s">
        <v>1229</v>
      </c>
      <c r="AL28" s="392" t="s">
        <v>1229</v>
      </c>
      <c r="AM28" s="392" t="s">
        <v>1229</v>
      </c>
      <c r="AN28" s="1304" t="s">
        <v>1229</v>
      </c>
      <c r="AO28" s="392" t="s">
        <v>1229</v>
      </c>
      <c r="AP28" s="392" t="s">
        <v>1229</v>
      </c>
      <c r="AQ28" s="1304" t="s">
        <v>1229</v>
      </c>
      <c r="AR28" s="392" t="s">
        <v>1229</v>
      </c>
      <c r="AS28" s="392" t="s">
        <v>1229</v>
      </c>
      <c r="AT28" s="1304" t="s">
        <v>1229</v>
      </c>
    </row>
    <row r="29" spans="1:46" ht="14.25" customHeight="1">
      <c r="A29" s="515">
        <f t="shared" si="0"/>
        <v>24</v>
      </c>
      <c r="B29" s="339" t="s">
        <v>1227</v>
      </c>
      <c r="C29" s="392" t="s">
        <v>1229</v>
      </c>
      <c r="D29" s="392" t="s">
        <v>1229</v>
      </c>
      <c r="E29" s="1304" t="s">
        <v>1229</v>
      </c>
      <c r="F29" s="395">
        <v>1068</v>
      </c>
      <c r="G29" s="875">
        <v>1.3740000000000001</v>
      </c>
      <c r="H29" s="1305">
        <v>1286.75</v>
      </c>
      <c r="I29" s="370">
        <v>3864</v>
      </c>
      <c r="J29" s="875">
        <v>10.659000000000001</v>
      </c>
      <c r="K29" s="376">
        <v>2758.49</v>
      </c>
      <c r="L29" s="916">
        <v>25</v>
      </c>
      <c r="M29" s="1281">
        <v>7.3999999999999996E-2</v>
      </c>
      <c r="N29" s="1296">
        <v>2954.91</v>
      </c>
      <c r="O29" s="392" t="s">
        <v>1229</v>
      </c>
      <c r="P29" s="392" t="s">
        <v>1229</v>
      </c>
      <c r="Q29" s="1304" t="s">
        <v>1229</v>
      </c>
      <c r="R29" s="392" t="s">
        <v>1229</v>
      </c>
      <c r="S29" s="392" t="s">
        <v>1229</v>
      </c>
      <c r="T29" s="1304" t="s">
        <v>1229</v>
      </c>
      <c r="U29" s="1446">
        <v>2</v>
      </c>
      <c r="V29" s="1281">
        <v>1E-3</v>
      </c>
      <c r="W29" s="1284">
        <v>386.72</v>
      </c>
      <c r="X29" s="226">
        <f t="shared" si="1"/>
        <v>24</v>
      </c>
      <c r="Y29" s="339" t="s">
        <v>1227</v>
      </c>
      <c r="Z29" s="392" t="s">
        <v>1229</v>
      </c>
      <c r="AA29" s="392" t="s">
        <v>1229</v>
      </c>
      <c r="AB29" s="1304" t="s">
        <v>1229</v>
      </c>
      <c r="AC29" s="1445">
        <v>196</v>
      </c>
      <c r="AD29" s="1281">
        <v>0.221</v>
      </c>
      <c r="AE29" s="1296">
        <v>1129.32</v>
      </c>
      <c r="AF29" s="392" t="s">
        <v>1229</v>
      </c>
      <c r="AG29" s="392" t="s">
        <v>1229</v>
      </c>
      <c r="AH29" s="1304" t="s">
        <v>1229</v>
      </c>
      <c r="AI29" s="1446">
        <v>20</v>
      </c>
      <c r="AJ29" s="1281">
        <v>1.2999999999999999E-2</v>
      </c>
      <c r="AK29" s="1284">
        <v>629.79</v>
      </c>
      <c r="AL29" s="392" t="s">
        <v>1229</v>
      </c>
      <c r="AM29" s="392" t="s">
        <v>1229</v>
      </c>
      <c r="AN29" s="1304" t="s">
        <v>1229</v>
      </c>
      <c r="AO29" s="1446">
        <v>33</v>
      </c>
      <c r="AP29" s="1281">
        <v>1.1220000000000001</v>
      </c>
      <c r="AQ29" s="1284">
        <v>34000</v>
      </c>
      <c r="AR29" s="392" t="s">
        <v>1229</v>
      </c>
      <c r="AS29" s="392" t="s">
        <v>1229</v>
      </c>
      <c r="AT29" s="1304" t="s">
        <v>1229</v>
      </c>
    </row>
    <row r="30" spans="1:46" ht="14.25" customHeight="1">
      <c r="A30" s="515">
        <f t="shared" si="0"/>
        <v>25</v>
      </c>
      <c r="B30" s="339" t="s">
        <v>1228</v>
      </c>
      <c r="C30" s="916">
        <v>113</v>
      </c>
      <c r="D30" s="1281">
        <v>0.29199999999999998</v>
      </c>
      <c r="E30" s="1296">
        <v>2583.87</v>
      </c>
      <c r="F30" s="395">
        <v>15500</v>
      </c>
      <c r="G30" s="875">
        <v>34.979999999999997</v>
      </c>
      <c r="H30" s="1305">
        <v>2256.8000000000002</v>
      </c>
      <c r="I30" s="370">
        <v>5461</v>
      </c>
      <c r="J30" s="875">
        <v>15.02</v>
      </c>
      <c r="K30" s="376">
        <v>2750.36</v>
      </c>
      <c r="L30" s="916">
        <v>637</v>
      </c>
      <c r="M30" s="1281">
        <v>1.8819999999999999</v>
      </c>
      <c r="N30" s="1296">
        <v>2954.91</v>
      </c>
      <c r="O30" s="392" t="s">
        <v>1229</v>
      </c>
      <c r="P30" s="392" t="s">
        <v>1229</v>
      </c>
      <c r="Q30" s="1304" t="s">
        <v>1229</v>
      </c>
      <c r="R30" s="392" t="s">
        <v>1229</v>
      </c>
      <c r="S30" s="392" t="s">
        <v>1229</v>
      </c>
      <c r="T30" s="1304" t="s">
        <v>1229</v>
      </c>
      <c r="U30" s="1296">
        <v>22</v>
      </c>
      <c r="V30" s="1282">
        <v>8.9999999999999993E-3</v>
      </c>
      <c r="W30" s="1284">
        <v>386.72</v>
      </c>
      <c r="X30" s="226">
        <f t="shared" si="1"/>
        <v>25</v>
      </c>
      <c r="Y30" s="339" t="s">
        <v>1228</v>
      </c>
      <c r="Z30" s="392" t="s">
        <v>1229</v>
      </c>
      <c r="AA30" s="392" t="s">
        <v>1229</v>
      </c>
      <c r="AB30" s="1304" t="s">
        <v>1229</v>
      </c>
      <c r="AC30" s="1445">
        <v>164</v>
      </c>
      <c r="AD30" s="1281">
        <v>0.17699999999999999</v>
      </c>
      <c r="AE30" s="1296">
        <v>1079.97</v>
      </c>
      <c r="AF30" s="1445">
        <v>447</v>
      </c>
      <c r="AG30" s="1281">
        <v>0.498</v>
      </c>
      <c r="AH30" s="1296">
        <v>1113.3800000000001</v>
      </c>
      <c r="AI30" s="1445">
        <v>23</v>
      </c>
      <c r="AJ30" s="1281">
        <v>1.6E-2</v>
      </c>
      <c r="AK30" s="1284">
        <v>676.39</v>
      </c>
      <c r="AL30" s="1445">
        <v>3</v>
      </c>
      <c r="AM30" s="1281">
        <v>4.0000000000000001E-3</v>
      </c>
      <c r="AN30" s="1284">
        <v>1263.19</v>
      </c>
      <c r="AO30" s="1446">
        <v>1</v>
      </c>
      <c r="AP30" s="1281">
        <v>3.4000000000000002E-2</v>
      </c>
      <c r="AQ30" s="1284">
        <v>34439</v>
      </c>
      <c r="AR30" s="392" t="s">
        <v>1229</v>
      </c>
      <c r="AS30" s="392" t="s">
        <v>1229</v>
      </c>
      <c r="AT30" s="1304" t="s">
        <v>1229</v>
      </c>
    </row>
    <row r="31" spans="1:46" ht="14.25" customHeight="1">
      <c r="A31" s="515">
        <f t="shared" si="0"/>
        <v>26</v>
      </c>
      <c r="B31" s="339" t="s">
        <v>1205</v>
      </c>
      <c r="C31" s="392" t="s">
        <v>1229</v>
      </c>
      <c r="D31" s="392" t="s">
        <v>1229</v>
      </c>
      <c r="E31" s="1304" t="s">
        <v>1229</v>
      </c>
      <c r="F31" s="395">
        <v>16905</v>
      </c>
      <c r="G31" s="875">
        <v>35.304000000000002</v>
      </c>
      <c r="H31" s="1305">
        <v>2088.35</v>
      </c>
      <c r="I31" s="915">
        <v>24</v>
      </c>
      <c r="J31" s="1281">
        <v>8.3000000000000004E-2</v>
      </c>
      <c r="K31" s="1284">
        <v>3476.59</v>
      </c>
      <c r="L31" s="916"/>
      <c r="M31" s="1281"/>
      <c r="N31" s="1296"/>
      <c r="O31" s="392" t="s">
        <v>1229</v>
      </c>
      <c r="P31" s="392" t="s">
        <v>1229</v>
      </c>
      <c r="Q31" s="1304" t="s">
        <v>1229</v>
      </c>
      <c r="R31" s="392" t="s">
        <v>1229</v>
      </c>
      <c r="S31" s="392" t="s">
        <v>1229</v>
      </c>
      <c r="T31" s="1304" t="s">
        <v>1229</v>
      </c>
      <c r="U31" s="1446">
        <v>20</v>
      </c>
      <c r="V31" s="1281">
        <v>8.0000000000000002E-3</v>
      </c>
      <c r="W31" s="1284">
        <v>384.61</v>
      </c>
      <c r="X31" s="226">
        <f t="shared" si="1"/>
        <v>26</v>
      </c>
      <c r="Y31" s="339" t="s">
        <v>1205</v>
      </c>
      <c r="Z31" s="392" t="s">
        <v>1229</v>
      </c>
      <c r="AA31" s="392" t="s">
        <v>1229</v>
      </c>
      <c r="AB31" s="1304" t="s">
        <v>1229</v>
      </c>
      <c r="AC31" s="1445">
        <v>997</v>
      </c>
      <c r="AD31" s="1281">
        <v>1.218</v>
      </c>
      <c r="AE31" s="1296">
        <v>1221.51</v>
      </c>
      <c r="AF31" s="392" t="s">
        <v>1229</v>
      </c>
      <c r="AG31" s="392" t="s">
        <v>1229</v>
      </c>
      <c r="AH31" s="1304" t="s">
        <v>1229</v>
      </c>
      <c r="AI31" s="1445"/>
      <c r="AJ31" s="1281"/>
      <c r="AK31" s="1284"/>
      <c r="AL31" s="392" t="s">
        <v>1229</v>
      </c>
      <c r="AM31" s="392" t="s">
        <v>1229</v>
      </c>
      <c r="AN31" s="1304" t="s">
        <v>1229</v>
      </c>
      <c r="AO31" s="392" t="s">
        <v>1229</v>
      </c>
      <c r="AP31" s="392" t="s">
        <v>1229</v>
      </c>
      <c r="AQ31" s="1284">
        <v>22613</v>
      </c>
      <c r="AR31" s="392" t="s">
        <v>1229</v>
      </c>
      <c r="AS31" s="392" t="s">
        <v>1229</v>
      </c>
      <c r="AT31" s="1304" t="s">
        <v>1229</v>
      </c>
    </row>
    <row r="32" spans="1:46" ht="14.25" customHeight="1">
      <c r="A32" s="515">
        <f t="shared" si="0"/>
        <v>27</v>
      </c>
      <c r="B32" s="339" t="s">
        <v>1206</v>
      </c>
      <c r="C32" s="392" t="s">
        <v>1229</v>
      </c>
      <c r="D32" s="392" t="s">
        <v>1229</v>
      </c>
      <c r="E32" s="1304" t="s">
        <v>1229</v>
      </c>
      <c r="F32" s="395">
        <v>32237</v>
      </c>
      <c r="G32" s="875">
        <v>77.581999999999994</v>
      </c>
      <c r="H32" s="1305">
        <v>2406.61</v>
      </c>
      <c r="I32" s="916">
        <v>54</v>
      </c>
      <c r="J32" s="1281">
        <v>0.158</v>
      </c>
      <c r="K32" s="1296">
        <v>2931.83</v>
      </c>
      <c r="L32" s="916">
        <v>247</v>
      </c>
      <c r="M32" s="1281">
        <v>0.73</v>
      </c>
      <c r="N32" s="1296">
        <v>2954.91</v>
      </c>
      <c r="O32" s="392" t="s">
        <v>1229</v>
      </c>
      <c r="P32" s="392" t="s">
        <v>1229</v>
      </c>
      <c r="Q32" s="1304" t="s">
        <v>1229</v>
      </c>
      <c r="R32" s="392" t="s">
        <v>1229</v>
      </c>
      <c r="S32" s="392" t="s">
        <v>1229</v>
      </c>
      <c r="T32" s="1304" t="s">
        <v>1229</v>
      </c>
      <c r="U32" s="1446">
        <v>8</v>
      </c>
      <c r="V32" s="1281">
        <v>3.0000000000000001E-3</v>
      </c>
      <c r="W32" s="1284">
        <v>378.28</v>
      </c>
      <c r="X32" s="226">
        <f t="shared" si="1"/>
        <v>27</v>
      </c>
      <c r="Y32" s="339" t="s">
        <v>1206</v>
      </c>
      <c r="Z32" s="392" t="s">
        <v>1229</v>
      </c>
      <c r="AA32" s="392" t="s">
        <v>1229</v>
      </c>
      <c r="AB32" s="1304" t="s">
        <v>1229</v>
      </c>
      <c r="AC32" s="1446">
        <v>589</v>
      </c>
      <c r="AD32" s="1281">
        <v>0.71699999999999997</v>
      </c>
      <c r="AE32" s="1296">
        <v>1216.49</v>
      </c>
      <c r="AF32" s="392" t="s">
        <v>1229</v>
      </c>
      <c r="AG32" s="392" t="s">
        <v>1229</v>
      </c>
      <c r="AH32" s="1304" t="s">
        <v>1229</v>
      </c>
      <c r="AI32" s="1446">
        <v>16</v>
      </c>
      <c r="AJ32" s="1281">
        <v>2.1999999999999999E-2</v>
      </c>
      <c r="AK32" s="1284">
        <v>1368.05</v>
      </c>
      <c r="AL32" s="392" t="s">
        <v>1229</v>
      </c>
      <c r="AM32" s="392" t="s">
        <v>1229</v>
      </c>
      <c r="AN32" s="1304" t="s">
        <v>1229</v>
      </c>
      <c r="AO32" s="1446">
        <v>31</v>
      </c>
      <c r="AP32" s="1281">
        <v>0.99199999999999999</v>
      </c>
      <c r="AQ32" s="1284">
        <v>32000</v>
      </c>
      <c r="AR32" s="392" t="s">
        <v>1229</v>
      </c>
      <c r="AS32" s="392" t="s">
        <v>1229</v>
      </c>
      <c r="AT32" s="1304" t="s">
        <v>1229</v>
      </c>
    </row>
    <row r="33" spans="1:46" ht="14.25" customHeight="1">
      <c r="A33" s="515">
        <f t="shared" si="0"/>
        <v>28</v>
      </c>
      <c r="B33" s="339" t="s">
        <v>1207</v>
      </c>
      <c r="C33" s="392" t="s">
        <v>1229</v>
      </c>
      <c r="D33" s="392" t="s">
        <v>1229</v>
      </c>
      <c r="E33" s="1304" t="s">
        <v>1229</v>
      </c>
      <c r="F33" s="395">
        <v>29616</v>
      </c>
      <c r="G33" s="875">
        <v>80.605000000000004</v>
      </c>
      <c r="H33" s="1305">
        <v>2721.69</v>
      </c>
      <c r="I33" s="916">
        <v>199</v>
      </c>
      <c r="J33" s="1281">
        <v>0.61399999999999999</v>
      </c>
      <c r="K33" s="1296">
        <v>3083.97</v>
      </c>
      <c r="L33" s="916"/>
      <c r="M33" s="1281"/>
      <c r="N33" s="1296"/>
      <c r="O33" s="392" t="s">
        <v>1229</v>
      </c>
      <c r="P33" s="392" t="s">
        <v>1229</v>
      </c>
      <c r="Q33" s="1304" t="s">
        <v>1229</v>
      </c>
      <c r="R33" s="392" t="s">
        <v>1229</v>
      </c>
      <c r="S33" s="392" t="s">
        <v>1229</v>
      </c>
      <c r="T33" s="1304" t="s">
        <v>1229</v>
      </c>
      <c r="U33" s="392" t="s">
        <v>1229</v>
      </c>
      <c r="V33" s="392" t="s">
        <v>1229</v>
      </c>
      <c r="W33" s="1304" t="s">
        <v>1229</v>
      </c>
      <c r="X33" s="226">
        <f t="shared" si="1"/>
        <v>28</v>
      </c>
      <c r="Y33" s="339" t="s">
        <v>1207</v>
      </c>
      <c r="Z33" s="392" t="s">
        <v>1229</v>
      </c>
      <c r="AA33" s="392" t="s">
        <v>1229</v>
      </c>
      <c r="AB33" s="1304" t="s">
        <v>1229</v>
      </c>
      <c r="AC33" s="1446">
        <v>249</v>
      </c>
      <c r="AD33" s="1281">
        <v>0.30299999999999999</v>
      </c>
      <c r="AE33" s="1296">
        <v>1216.49</v>
      </c>
      <c r="AF33" s="392" t="s">
        <v>1229</v>
      </c>
      <c r="AG33" s="392" t="s">
        <v>1229</v>
      </c>
      <c r="AH33" s="1304" t="s">
        <v>1229</v>
      </c>
      <c r="AI33" s="1446">
        <v>35</v>
      </c>
      <c r="AJ33" s="1281">
        <v>4.8000000000000001E-2</v>
      </c>
      <c r="AK33" s="1284">
        <v>1368.05</v>
      </c>
      <c r="AL33" s="1446">
        <v>119</v>
      </c>
      <c r="AM33" s="1281">
        <v>0.15</v>
      </c>
      <c r="AN33" s="1284">
        <v>1263.19</v>
      </c>
      <c r="AO33" s="1446">
        <v>42</v>
      </c>
      <c r="AP33" s="1281">
        <v>1.365</v>
      </c>
      <c r="AQ33" s="1284">
        <v>32500</v>
      </c>
      <c r="AR33" s="392" t="s">
        <v>1229</v>
      </c>
      <c r="AS33" s="392" t="s">
        <v>1229</v>
      </c>
      <c r="AT33" s="1304" t="s">
        <v>1229</v>
      </c>
    </row>
    <row r="34" spans="1:46" ht="14.25" customHeight="1">
      <c r="A34" s="517">
        <f t="shared" si="0"/>
        <v>29</v>
      </c>
      <c r="B34" s="243" t="s">
        <v>1208</v>
      </c>
      <c r="C34" s="443" t="s">
        <v>1229</v>
      </c>
      <c r="D34" s="443" t="s">
        <v>1229</v>
      </c>
      <c r="E34" s="845" t="s">
        <v>1229</v>
      </c>
      <c r="F34" s="640">
        <v>33272</v>
      </c>
      <c r="G34" s="1283">
        <v>77.076999999999998</v>
      </c>
      <c r="H34" s="1317">
        <v>2316.58</v>
      </c>
      <c r="I34" s="379">
        <v>1223</v>
      </c>
      <c r="J34" s="1283">
        <v>3.7719999999999998</v>
      </c>
      <c r="K34" s="846">
        <v>3083.97</v>
      </c>
      <c r="L34" s="1080">
        <v>1426</v>
      </c>
      <c r="M34" s="1500">
        <v>4.2140000000000004</v>
      </c>
      <c r="N34" s="1501">
        <v>2954.91</v>
      </c>
      <c r="O34" s="443" t="s">
        <v>1229</v>
      </c>
      <c r="P34" s="443" t="s">
        <v>1229</v>
      </c>
      <c r="Q34" s="845" t="s">
        <v>1229</v>
      </c>
      <c r="R34" s="443" t="s">
        <v>1229</v>
      </c>
      <c r="S34" s="443" t="s">
        <v>1229</v>
      </c>
      <c r="T34" s="845" t="s">
        <v>1229</v>
      </c>
      <c r="U34" s="443" t="s">
        <v>1229</v>
      </c>
      <c r="V34" s="443" t="s">
        <v>1229</v>
      </c>
      <c r="W34" s="845" t="s">
        <v>1229</v>
      </c>
      <c r="X34" s="456">
        <f t="shared" si="1"/>
        <v>29</v>
      </c>
      <c r="Y34" s="243" t="s">
        <v>1208</v>
      </c>
      <c r="Z34" s="443" t="s">
        <v>1229</v>
      </c>
      <c r="AA34" s="443" t="s">
        <v>1229</v>
      </c>
      <c r="AB34" s="845" t="s">
        <v>1229</v>
      </c>
      <c r="AC34" s="1503">
        <v>29</v>
      </c>
      <c r="AD34" s="1500">
        <v>2.8000000000000001E-2</v>
      </c>
      <c r="AE34" s="1501">
        <v>971.78</v>
      </c>
      <c r="AF34" s="443" t="s">
        <v>1229</v>
      </c>
      <c r="AG34" s="443" t="s">
        <v>1229</v>
      </c>
      <c r="AH34" s="845" t="s">
        <v>1229</v>
      </c>
      <c r="AI34" s="1501">
        <v>23</v>
      </c>
      <c r="AJ34" s="1504">
        <v>0.03</v>
      </c>
      <c r="AK34" s="1501">
        <v>1309.07</v>
      </c>
      <c r="AL34" s="443" t="s">
        <v>1229</v>
      </c>
      <c r="AM34" s="443" t="s">
        <v>1229</v>
      </c>
      <c r="AN34" s="845" t="s">
        <v>1229</v>
      </c>
      <c r="AO34" s="1502">
        <v>38</v>
      </c>
      <c r="AP34" s="1500">
        <v>1.276</v>
      </c>
      <c r="AQ34" s="1286">
        <v>33570</v>
      </c>
      <c r="AR34" s="443" t="s">
        <v>1229</v>
      </c>
      <c r="AS34" s="443" t="s">
        <v>1229</v>
      </c>
      <c r="AT34" s="845" t="s">
        <v>1229</v>
      </c>
    </row>
    <row r="35" spans="1:46" ht="12" customHeight="1">
      <c r="W35" s="1065" t="s">
        <v>689</v>
      </c>
      <c r="X35" s="1009" t="s">
        <v>1421</v>
      </c>
      <c r="Y35" s="1009"/>
      <c r="Z35" s="1154"/>
      <c r="AA35" s="1154"/>
      <c r="AB35" s="1154"/>
      <c r="AC35" s="1154" t="s">
        <v>1021</v>
      </c>
      <c r="AD35" s="1154"/>
      <c r="AE35" s="1154"/>
      <c r="AF35" s="1154"/>
      <c r="AG35" s="1154"/>
      <c r="AH35" s="1154"/>
      <c r="AI35" s="1541" t="s">
        <v>286</v>
      </c>
      <c r="AJ35" s="1154"/>
      <c r="AK35" s="1154"/>
      <c r="AL35" s="1154"/>
      <c r="AM35" s="1154"/>
      <c r="AN35" s="1062" t="s">
        <v>1446</v>
      </c>
      <c r="AO35" s="1287" t="s">
        <v>1023</v>
      </c>
      <c r="AP35" s="1154"/>
      <c r="AQ35" s="1154"/>
      <c r="AR35" s="1067"/>
      <c r="AS35" s="1154"/>
      <c r="AT35" s="1154"/>
    </row>
    <row r="36" spans="1:46" ht="12" customHeight="1">
      <c r="X36" s="1009" t="s">
        <v>321</v>
      </c>
      <c r="Y36" s="1009"/>
      <c r="Z36" s="1154"/>
      <c r="AA36" s="1154"/>
      <c r="AB36" s="1154"/>
      <c r="AC36" s="1154" t="s">
        <v>1022</v>
      </c>
      <c r="AD36" s="1154"/>
      <c r="AE36" s="1154"/>
      <c r="AF36" s="1154"/>
      <c r="AG36" s="1154"/>
      <c r="AH36" s="1154"/>
      <c r="AI36" s="1154"/>
      <c r="AJ36" s="1154"/>
      <c r="AK36" s="1154"/>
      <c r="AL36" s="1154"/>
      <c r="AM36" s="1154"/>
      <c r="AN36" s="1067"/>
      <c r="AO36" s="1287" t="s">
        <v>1507</v>
      </c>
      <c r="AP36" s="1154"/>
      <c r="AQ36" s="1154"/>
      <c r="AR36" s="1067"/>
      <c r="AS36" s="1154"/>
      <c r="AT36" s="1154"/>
    </row>
  </sheetData>
  <mergeCells count="21">
    <mergeCell ref="A1:W1"/>
    <mergeCell ref="A2:W2"/>
    <mergeCell ref="X2:AT2"/>
    <mergeCell ref="B3:B4"/>
    <mergeCell ref="Z3:AB3"/>
    <mergeCell ref="C3:E3"/>
    <mergeCell ref="F3:H3"/>
    <mergeCell ref="X3:X4"/>
    <mergeCell ref="A3:A4"/>
    <mergeCell ref="L3:N3"/>
    <mergeCell ref="I3:K3"/>
    <mergeCell ref="U3:W3"/>
    <mergeCell ref="AC3:AE3"/>
    <mergeCell ref="Y3:Y4"/>
    <mergeCell ref="O3:Q3"/>
    <mergeCell ref="R3:T3"/>
    <mergeCell ref="AR3:AT3"/>
    <mergeCell ref="AL3:AN3"/>
    <mergeCell ref="AO3:AQ3"/>
    <mergeCell ref="AF3:AH3"/>
    <mergeCell ref="AI3:AK3"/>
  </mergeCells>
  <phoneticPr fontId="0" type="noConversion"/>
  <printOptions horizontalCentered="1" verticalCentered="1"/>
  <pageMargins left="0" right="0" top="0" bottom="0" header="0" footer="0"/>
  <pageSetup paperSize="9" orientation="landscape" blackAndWhite="1" r:id="rId1"/>
  <headerFooter alignWithMargins="0"/>
  <colBreaks count="1" manualBreakCount="1">
    <brk id="23" max="1048575" man="1"/>
  </colBreaks>
  <drawing r:id="rId2"/>
</worksheet>
</file>

<file path=xl/worksheets/sheet8.xml><?xml version="1.0" encoding="utf-8"?>
<worksheet xmlns="http://schemas.openxmlformats.org/spreadsheetml/2006/main" xmlns:r="http://schemas.openxmlformats.org/officeDocument/2006/relationships">
  <sheetPr codeName="Sheet7"/>
  <dimension ref="A1:U79"/>
  <sheetViews>
    <sheetView topLeftCell="A19" workbookViewId="0">
      <selection activeCell="J11" sqref="J11"/>
    </sheetView>
  </sheetViews>
  <sheetFormatPr defaultRowHeight="12.75"/>
  <cols>
    <col min="1" max="1" width="12.85546875" style="10" customWidth="1"/>
    <col min="2" max="2" width="21.140625" style="10" customWidth="1"/>
    <col min="3" max="3" width="19" style="10" customWidth="1"/>
    <col min="4" max="4" width="6.7109375" style="10" customWidth="1"/>
    <col min="5" max="5" width="5.140625" style="10" customWidth="1"/>
    <col min="6" max="6" width="7.140625" style="10" customWidth="1"/>
    <col min="7" max="7" width="7" style="10" customWidth="1"/>
    <col min="8" max="9" width="8.42578125" style="10" customWidth="1"/>
    <col min="10" max="10" width="5.140625" style="10" customWidth="1"/>
    <col min="11" max="11" width="6.140625" style="10" customWidth="1"/>
    <col min="12" max="12" width="5" style="10" customWidth="1"/>
    <col min="13" max="14" width="5.42578125" style="10" customWidth="1"/>
    <col min="15" max="15" width="6" style="10" customWidth="1"/>
    <col min="16" max="16" width="7.7109375" style="10" customWidth="1"/>
    <col min="17" max="17" width="6.7109375" style="10" customWidth="1"/>
    <col min="18" max="18" width="7.140625" style="10" customWidth="1"/>
    <col min="19" max="16384" width="9.140625" style="10"/>
  </cols>
  <sheetData>
    <row r="1" spans="1:18" ht="15.75" customHeight="1">
      <c r="A1" s="1708" t="s">
        <v>475</v>
      </c>
      <c r="B1" s="1708"/>
      <c r="C1" s="1708"/>
      <c r="D1" s="1708"/>
      <c r="E1" s="1708"/>
      <c r="F1" s="1708"/>
      <c r="G1" s="1708"/>
      <c r="H1" s="1708"/>
      <c r="I1" s="1708"/>
      <c r="J1" s="1708"/>
      <c r="K1" s="1708"/>
      <c r="L1" s="1708"/>
      <c r="M1" s="1708"/>
      <c r="N1" s="1708"/>
      <c r="O1" s="1708"/>
      <c r="P1" s="1708"/>
      <c r="Q1" s="1708"/>
      <c r="R1" s="1708"/>
    </row>
    <row r="2" spans="1:18" ht="18" customHeight="1">
      <c r="B2" s="1753" t="str">
        <f>"Administrative Units in the district of South 24-Parganas for the year " &amp; District!F5</f>
        <v>Administrative Units in the district of South 24-Parganas for the year 2014</v>
      </c>
      <c r="C2" s="1753"/>
      <c r="D2" s="1753"/>
      <c r="E2" s="1753"/>
      <c r="F2" s="1753"/>
      <c r="G2" s="1753"/>
      <c r="H2" s="1753"/>
      <c r="I2" s="1753"/>
      <c r="J2" s="1753"/>
      <c r="K2" s="1753"/>
      <c r="L2" s="1753"/>
      <c r="M2" s="1753"/>
      <c r="N2" s="1753"/>
      <c r="O2" s="1753"/>
      <c r="P2" s="1753"/>
      <c r="Q2" s="1753"/>
      <c r="R2" s="1753"/>
    </row>
    <row r="3" spans="1:18">
      <c r="R3" s="1627" t="s">
        <v>977</v>
      </c>
    </row>
    <row r="4" spans="1:18" s="13" customFormat="1" ht="13.5" customHeight="1">
      <c r="A4" s="1746" t="s">
        <v>972</v>
      </c>
      <c r="B4" s="1737" t="s">
        <v>295</v>
      </c>
      <c r="C4" s="1737" t="s">
        <v>1209</v>
      </c>
      <c r="D4" s="1732" t="s">
        <v>973</v>
      </c>
      <c r="E4" s="1713"/>
      <c r="F4" s="1714"/>
      <c r="G4" s="1723" t="s">
        <v>331</v>
      </c>
      <c r="H4" s="1737" t="s">
        <v>164</v>
      </c>
      <c r="I4" s="1737" t="s">
        <v>332</v>
      </c>
      <c r="J4" s="1713" t="s">
        <v>978</v>
      </c>
      <c r="K4" s="1713"/>
      <c r="L4" s="1713"/>
      <c r="M4" s="1713"/>
      <c r="N4" s="1713"/>
      <c r="O4" s="1713"/>
      <c r="P4" s="1713"/>
      <c r="Q4" s="1713"/>
      <c r="R4" s="1714"/>
    </row>
    <row r="5" spans="1:18" s="13" customFormat="1" ht="30" customHeight="1">
      <c r="A5" s="1747"/>
      <c r="B5" s="1734"/>
      <c r="C5" s="1743"/>
      <c r="D5" s="1733" t="s">
        <v>974</v>
      </c>
      <c r="E5" s="1740" t="s">
        <v>975</v>
      </c>
      <c r="F5" s="1737" t="s">
        <v>844</v>
      </c>
      <c r="G5" s="1725"/>
      <c r="H5" s="1738"/>
      <c r="I5" s="1738"/>
      <c r="J5" s="1744" t="s">
        <v>544</v>
      </c>
      <c r="K5" s="1745"/>
      <c r="L5" s="1723" t="s">
        <v>842</v>
      </c>
      <c r="M5" s="1724"/>
      <c r="N5" s="1742" t="s">
        <v>545</v>
      </c>
      <c r="O5" s="1724"/>
      <c r="P5" s="631" t="s">
        <v>543</v>
      </c>
      <c r="Q5" s="1474" t="s">
        <v>569</v>
      </c>
      <c r="R5" s="1737" t="s">
        <v>958</v>
      </c>
    </row>
    <row r="6" spans="1:18" s="13" customFormat="1" ht="17.25" customHeight="1">
      <c r="A6" s="1748"/>
      <c r="B6" s="1735"/>
      <c r="C6" s="1738"/>
      <c r="D6" s="1735"/>
      <c r="E6" s="1741"/>
      <c r="F6" s="1738"/>
      <c r="G6" s="1294" t="s">
        <v>976</v>
      </c>
      <c r="H6" s="1295" t="s">
        <v>542</v>
      </c>
      <c r="I6" s="1295" t="s">
        <v>542</v>
      </c>
      <c r="J6" s="142" t="s">
        <v>979</v>
      </c>
      <c r="K6" s="260" t="s">
        <v>980</v>
      </c>
      <c r="L6" s="140" t="s">
        <v>979</v>
      </c>
      <c r="M6" s="142" t="s">
        <v>980</v>
      </c>
      <c r="N6" s="140" t="s">
        <v>979</v>
      </c>
      <c r="O6" s="142" t="s">
        <v>980</v>
      </c>
      <c r="P6" s="1295" t="s">
        <v>542</v>
      </c>
      <c r="Q6" s="1295" t="s">
        <v>542</v>
      </c>
      <c r="R6" s="1738"/>
    </row>
    <row r="7" spans="1:18">
      <c r="A7" s="137" t="s">
        <v>928</v>
      </c>
      <c r="B7" s="130" t="s">
        <v>929</v>
      </c>
      <c r="C7" s="130" t="s">
        <v>930</v>
      </c>
      <c r="D7" s="130" t="s">
        <v>931</v>
      </c>
      <c r="E7" s="131" t="s">
        <v>932</v>
      </c>
      <c r="F7" s="130" t="s">
        <v>933</v>
      </c>
      <c r="G7" s="131" t="s">
        <v>934</v>
      </c>
      <c r="H7" s="130" t="s">
        <v>959</v>
      </c>
      <c r="I7" s="130" t="s">
        <v>960</v>
      </c>
      <c r="J7" s="137" t="s">
        <v>961</v>
      </c>
      <c r="K7" s="130" t="s">
        <v>962</v>
      </c>
      <c r="L7" s="137" t="s">
        <v>1037</v>
      </c>
      <c r="M7" s="130" t="s">
        <v>1038</v>
      </c>
      <c r="N7" s="137" t="s">
        <v>1039</v>
      </c>
      <c r="O7" s="130" t="s">
        <v>1040</v>
      </c>
      <c r="P7" s="130" t="s">
        <v>1041</v>
      </c>
      <c r="Q7" s="131" t="s">
        <v>1042</v>
      </c>
      <c r="R7" s="130" t="s">
        <v>1044</v>
      </c>
    </row>
    <row r="8" spans="1:18" ht="16.5" customHeight="1">
      <c r="A8" s="1751" t="s">
        <v>339</v>
      </c>
      <c r="B8" s="918">
        <v>5</v>
      </c>
      <c r="C8" s="919" t="s">
        <v>1116</v>
      </c>
      <c r="D8" s="918">
        <f t="shared" ref="D8:R8" si="0">IF(SUM(D9:D16)=0,"-",SUM(D9:D16))</f>
        <v>5</v>
      </c>
      <c r="E8" s="342">
        <f>IF(SUM(E9:E16)=0,"-",SUM(E9:E16))+4</f>
        <v>43</v>
      </c>
      <c r="F8" s="918">
        <f t="shared" si="0"/>
        <v>648</v>
      </c>
      <c r="G8" s="342">
        <f t="shared" si="0"/>
        <v>268</v>
      </c>
      <c r="H8" s="1437">
        <f>IF(SUM(H9:H16)=0,"-",SUM(H9:H16))</f>
        <v>243</v>
      </c>
      <c r="I8" s="1437">
        <f>IF(SUM(I9:I16)=0,"-",SUM(I9:I16))</f>
        <v>342718</v>
      </c>
      <c r="J8" s="345" t="str">
        <f t="shared" si="0"/>
        <v>-</v>
      </c>
      <c r="K8" s="918" t="str">
        <f t="shared" si="0"/>
        <v>-</v>
      </c>
      <c r="L8" s="345">
        <f t="shared" si="0"/>
        <v>3</v>
      </c>
      <c r="M8" s="918">
        <f t="shared" si="0"/>
        <v>70</v>
      </c>
      <c r="N8" s="345" t="str">
        <f t="shared" si="0"/>
        <v>-</v>
      </c>
      <c r="O8" s="918" t="str">
        <f t="shared" si="0"/>
        <v>-</v>
      </c>
      <c r="P8" s="918">
        <f t="shared" si="0"/>
        <v>36</v>
      </c>
      <c r="Q8" s="342" t="str">
        <f t="shared" si="0"/>
        <v>-</v>
      </c>
      <c r="R8" s="918">
        <f t="shared" si="0"/>
        <v>39</v>
      </c>
    </row>
    <row r="9" spans="1:18" ht="39" customHeight="1">
      <c r="A9" s="1752"/>
      <c r="B9" s="1620" t="s">
        <v>1884</v>
      </c>
      <c r="C9" s="1438" t="s">
        <v>757</v>
      </c>
      <c r="D9" s="392">
        <v>1</v>
      </c>
      <c r="E9" s="370" t="s">
        <v>420</v>
      </c>
      <c r="F9" s="392">
        <v>80</v>
      </c>
      <c r="G9" s="395">
        <v>39</v>
      </c>
      <c r="H9" s="77">
        <v>33</v>
      </c>
      <c r="I9" s="77">
        <v>41956</v>
      </c>
      <c r="J9" s="395" t="s">
        <v>1229</v>
      </c>
      <c r="K9" s="392" t="s">
        <v>1229</v>
      </c>
      <c r="L9" s="395" t="s">
        <v>1229</v>
      </c>
      <c r="M9" s="392" t="s">
        <v>1229</v>
      </c>
      <c r="N9" s="915" t="s">
        <v>1229</v>
      </c>
      <c r="O9" s="392" t="s">
        <v>1229</v>
      </c>
      <c r="P9" s="392">
        <v>9</v>
      </c>
      <c r="Q9" s="370" t="s">
        <v>1229</v>
      </c>
      <c r="R9" s="392">
        <f t="shared" ref="R9:R16" si="1">IF(SUM(J9,L9,N9,P9,Q9)=0,"-",SUM(J9,L9,N9,P9,Q9))</f>
        <v>9</v>
      </c>
    </row>
    <row r="10" spans="1:18" ht="15" customHeight="1">
      <c r="A10" s="334"/>
      <c r="B10" s="1754" t="s">
        <v>406</v>
      </c>
      <c r="C10" s="163" t="s">
        <v>1214</v>
      </c>
      <c r="D10" s="392">
        <v>1</v>
      </c>
      <c r="E10" s="370">
        <v>11</v>
      </c>
      <c r="F10" s="392">
        <v>168</v>
      </c>
      <c r="G10" s="370">
        <v>87</v>
      </c>
      <c r="H10" s="77">
        <v>84</v>
      </c>
      <c r="I10" s="77">
        <v>52227</v>
      </c>
      <c r="J10" s="395" t="s">
        <v>1229</v>
      </c>
      <c r="K10" s="392" t="s">
        <v>1229</v>
      </c>
      <c r="L10" s="395" t="s">
        <v>1229</v>
      </c>
      <c r="M10" s="392" t="s">
        <v>1229</v>
      </c>
      <c r="N10" s="395" t="s">
        <v>1229</v>
      </c>
      <c r="O10" s="392" t="s">
        <v>1229</v>
      </c>
      <c r="P10" s="392">
        <v>4</v>
      </c>
      <c r="Q10" s="370" t="s">
        <v>1229</v>
      </c>
      <c r="R10" s="392">
        <f t="shared" si="1"/>
        <v>4</v>
      </c>
    </row>
    <row r="11" spans="1:18" ht="12.75" customHeight="1">
      <c r="A11" s="334"/>
      <c r="B11" s="1754"/>
      <c r="C11" s="163" t="s">
        <v>1211</v>
      </c>
      <c r="D11" s="392">
        <v>1</v>
      </c>
      <c r="E11" s="370">
        <v>11</v>
      </c>
      <c r="F11" s="392">
        <v>167</v>
      </c>
      <c r="G11" s="370">
        <v>62</v>
      </c>
      <c r="H11" s="77">
        <v>52</v>
      </c>
      <c r="I11" s="77">
        <v>49148</v>
      </c>
      <c r="J11" s="395" t="s">
        <v>1229</v>
      </c>
      <c r="K11" s="392" t="s">
        <v>1229</v>
      </c>
      <c r="L11" s="395" t="s">
        <v>1229</v>
      </c>
      <c r="M11" s="392" t="s">
        <v>1229</v>
      </c>
      <c r="N11" s="395" t="s">
        <v>1229</v>
      </c>
      <c r="O11" s="392" t="s">
        <v>1229</v>
      </c>
      <c r="P11" s="392">
        <v>11</v>
      </c>
      <c r="Q11" s="370" t="s">
        <v>1229</v>
      </c>
      <c r="R11" s="392">
        <f t="shared" si="1"/>
        <v>11</v>
      </c>
    </row>
    <row r="12" spans="1:18" ht="26.25" customHeight="1">
      <c r="A12" s="334"/>
      <c r="B12" s="1293" t="s">
        <v>407</v>
      </c>
      <c r="C12" s="163" t="s">
        <v>1212</v>
      </c>
      <c r="D12" s="392">
        <v>1</v>
      </c>
      <c r="E12" s="370">
        <v>6</v>
      </c>
      <c r="F12" s="392">
        <v>83</v>
      </c>
      <c r="G12" s="370">
        <v>16</v>
      </c>
      <c r="H12" s="77">
        <v>13</v>
      </c>
      <c r="I12" s="77">
        <v>26333</v>
      </c>
      <c r="J12" s="395" t="s">
        <v>1229</v>
      </c>
      <c r="K12" s="392" t="s">
        <v>1229</v>
      </c>
      <c r="L12" s="395" t="s">
        <v>1229</v>
      </c>
      <c r="M12" s="392" t="s">
        <v>1229</v>
      </c>
      <c r="N12" s="395" t="s">
        <v>1229</v>
      </c>
      <c r="O12" s="392" t="s">
        <v>1229</v>
      </c>
      <c r="P12" s="392">
        <v>7</v>
      </c>
      <c r="Q12" s="370" t="s">
        <v>1229</v>
      </c>
      <c r="R12" s="392">
        <f t="shared" si="1"/>
        <v>7</v>
      </c>
    </row>
    <row r="13" spans="1:18" ht="15" customHeight="1">
      <c r="A13" s="334"/>
      <c r="B13" s="313" t="s">
        <v>408</v>
      </c>
      <c r="C13" s="163" t="s">
        <v>1213</v>
      </c>
      <c r="D13" s="392">
        <v>1</v>
      </c>
      <c r="E13" s="370">
        <v>11</v>
      </c>
      <c r="F13" s="392">
        <v>150</v>
      </c>
      <c r="G13" s="370">
        <v>64</v>
      </c>
      <c r="H13" s="77">
        <v>61</v>
      </c>
      <c r="I13" s="77">
        <v>44959</v>
      </c>
      <c r="J13" s="395" t="s">
        <v>1229</v>
      </c>
      <c r="K13" s="392" t="s">
        <v>1229</v>
      </c>
      <c r="L13" s="395" t="s">
        <v>1229</v>
      </c>
      <c r="M13" s="392" t="s">
        <v>1229</v>
      </c>
      <c r="N13" s="395" t="s">
        <v>1229</v>
      </c>
      <c r="O13" s="392" t="s">
        <v>1229</v>
      </c>
      <c r="P13" s="392">
        <v>5</v>
      </c>
      <c r="Q13" s="370" t="s">
        <v>1229</v>
      </c>
      <c r="R13" s="392">
        <f t="shared" si="1"/>
        <v>5</v>
      </c>
    </row>
    <row r="14" spans="1:18" ht="15.75" customHeight="1">
      <c r="A14" s="334"/>
      <c r="B14" s="313" t="s">
        <v>1191</v>
      </c>
      <c r="C14" s="163" t="s">
        <v>1215</v>
      </c>
      <c r="D14" s="392" t="s">
        <v>1229</v>
      </c>
      <c r="E14" s="370" t="s">
        <v>1229</v>
      </c>
      <c r="F14" s="392" t="s">
        <v>1229</v>
      </c>
      <c r="G14" s="370" t="s">
        <v>1229</v>
      </c>
      <c r="H14" s="392" t="s">
        <v>1229</v>
      </c>
      <c r="I14" s="77">
        <v>18055</v>
      </c>
      <c r="J14" s="395" t="s">
        <v>1229</v>
      </c>
      <c r="K14" s="392" t="s">
        <v>1229</v>
      </c>
      <c r="L14" s="395">
        <v>1</v>
      </c>
      <c r="M14" s="392">
        <v>20</v>
      </c>
      <c r="N14" s="395" t="s">
        <v>1229</v>
      </c>
      <c r="O14" s="392" t="s">
        <v>1229</v>
      </c>
      <c r="P14" s="392" t="s">
        <v>1229</v>
      </c>
      <c r="Q14" s="370" t="s">
        <v>1229</v>
      </c>
      <c r="R14" s="392">
        <f t="shared" si="1"/>
        <v>1</v>
      </c>
    </row>
    <row r="15" spans="1:18" ht="25.5" customHeight="1">
      <c r="A15" s="334"/>
      <c r="B15" s="1293" t="s">
        <v>1883</v>
      </c>
      <c r="C15" s="1438" t="s">
        <v>1216</v>
      </c>
      <c r="D15" s="392" t="s">
        <v>1229</v>
      </c>
      <c r="E15" s="370" t="s">
        <v>1229</v>
      </c>
      <c r="F15" s="392" t="s">
        <v>1229</v>
      </c>
      <c r="G15" s="395" t="s">
        <v>1229</v>
      </c>
      <c r="H15" s="392" t="s">
        <v>1229</v>
      </c>
      <c r="I15" s="77">
        <v>101453</v>
      </c>
      <c r="J15" s="395" t="s">
        <v>1229</v>
      </c>
      <c r="K15" s="392" t="s">
        <v>1229</v>
      </c>
      <c r="L15" s="395">
        <v>1</v>
      </c>
      <c r="M15" s="392">
        <v>35</v>
      </c>
      <c r="N15" s="395" t="s">
        <v>1229</v>
      </c>
      <c r="O15" s="392" t="s">
        <v>1229</v>
      </c>
      <c r="P15" s="916" t="s">
        <v>1229</v>
      </c>
      <c r="Q15" s="370" t="s">
        <v>1229</v>
      </c>
      <c r="R15" s="392">
        <f t="shared" si="1"/>
        <v>1</v>
      </c>
    </row>
    <row r="16" spans="1:18" ht="16.5" customHeight="1">
      <c r="A16" s="334"/>
      <c r="B16" s="313" t="s">
        <v>1191</v>
      </c>
      <c r="C16" s="163" t="s">
        <v>1217</v>
      </c>
      <c r="D16" s="392" t="s">
        <v>1229</v>
      </c>
      <c r="E16" s="392" t="s">
        <v>1229</v>
      </c>
      <c r="F16" s="392" t="s">
        <v>1229</v>
      </c>
      <c r="G16" s="392" t="s">
        <v>1229</v>
      </c>
      <c r="H16" s="392" t="s">
        <v>1229</v>
      </c>
      <c r="I16" s="77">
        <v>8587</v>
      </c>
      <c r="J16" s="494" t="s">
        <v>1229</v>
      </c>
      <c r="K16" s="392" t="s">
        <v>1229</v>
      </c>
      <c r="L16" s="392">
        <v>1</v>
      </c>
      <c r="M16" s="392">
        <v>15</v>
      </c>
      <c r="N16" s="392" t="s">
        <v>1229</v>
      </c>
      <c r="O16" s="392" t="s">
        <v>1229</v>
      </c>
      <c r="P16" s="392" t="s">
        <v>1229</v>
      </c>
      <c r="Q16" s="392" t="s">
        <v>1229</v>
      </c>
      <c r="R16" s="392">
        <f t="shared" si="1"/>
        <v>1</v>
      </c>
    </row>
    <row r="17" spans="1:19" ht="16.5" customHeight="1">
      <c r="A17" s="1749" t="s">
        <v>340</v>
      </c>
      <c r="B17" s="918">
        <v>9</v>
      </c>
      <c r="C17" s="920" t="s">
        <v>1117</v>
      </c>
      <c r="D17" s="918">
        <f t="shared" ref="D17:R17" si="2">IF(SUM(D18:D27)=0,"-",SUM(D18:D27))</f>
        <v>7</v>
      </c>
      <c r="E17" s="342">
        <f t="shared" si="2"/>
        <v>80</v>
      </c>
      <c r="F17" s="918">
        <f t="shared" si="2"/>
        <v>1292</v>
      </c>
      <c r="G17" s="342">
        <f t="shared" si="2"/>
        <v>523</v>
      </c>
      <c r="H17" s="918">
        <f t="shared" si="2"/>
        <v>482</v>
      </c>
      <c r="I17" s="918">
        <f t="shared" si="2"/>
        <v>528389</v>
      </c>
      <c r="J17" s="345" t="str">
        <f t="shared" si="2"/>
        <v>-</v>
      </c>
      <c r="K17" s="918" t="str">
        <f t="shared" si="2"/>
        <v>-</v>
      </c>
      <c r="L17" s="345">
        <f t="shared" si="2"/>
        <v>3</v>
      </c>
      <c r="M17" s="918">
        <f t="shared" si="2"/>
        <v>66</v>
      </c>
      <c r="N17" s="345" t="str">
        <f t="shared" si="2"/>
        <v>-</v>
      </c>
      <c r="O17" s="918" t="str">
        <f t="shared" si="2"/>
        <v>-</v>
      </c>
      <c r="P17" s="918">
        <f t="shared" si="2"/>
        <v>30</v>
      </c>
      <c r="Q17" s="342" t="str">
        <f t="shared" si="2"/>
        <v>-</v>
      </c>
      <c r="R17" s="918">
        <f t="shared" si="2"/>
        <v>33</v>
      </c>
    </row>
    <row r="18" spans="1:19" ht="16.5" customHeight="1">
      <c r="A18" s="1750"/>
      <c r="B18" s="536" t="s">
        <v>516</v>
      </c>
      <c r="C18" s="163" t="s">
        <v>1218</v>
      </c>
      <c r="D18" s="392">
        <v>1</v>
      </c>
      <c r="E18" s="370">
        <v>11</v>
      </c>
      <c r="F18" s="392">
        <v>156</v>
      </c>
      <c r="G18" s="370">
        <v>75</v>
      </c>
      <c r="H18" s="77">
        <v>65</v>
      </c>
      <c r="I18" s="77">
        <v>51502</v>
      </c>
      <c r="J18" s="395" t="s">
        <v>1229</v>
      </c>
      <c r="K18" s="392" t="s">
        <v>1229</v>
      </c>
      <c r="L18" s="395" t="s">
        <v>1229</v>
      </c>
      <c r="M18" s="392" t="s">
        <v>1229</v>
      </c>
      <c r="N18" s="395" t="s">
        <v>1229</v>
      </c>
      <c r="O18" s="392" t="s">
        <v>1229</v>
      </c>
      <c r="P18" s="392">
        <v>7</v>
      </c>
      <c r="Q18" s="370" t="s">
        <v>1229</v>
      </c>
      <c r="R18" s="392">
        <f t="shared" ref="R18:R24" si="3">IF(SUM(J18,L18,N18,P18,Q18)=0,"-",SUM(J18,L18,N18,P18,Q18))</f>
        <v>7</v>
      </c>
    </row>
    <row r="19" spans="1:19" ht="16.5" customHeight="1">
      <c r="A19" s="1292"/>
      <c r="B19" s="313" t="s">
        <v>1770</v>
      </c>
      <c r="C19" s="163" t="s">
        <v>759</v>
      </c>
      <c r="D19" s="392">
        <v>1</v>
      </c>
      <c r="E19" s="370">
        <v>12</v>
      </c>
      <c r="F19" s="392">
        <v>188</v>
      </c>
      <c r="G19" s="370">
        <v>72</v>
      </c>
      <c r="H19" s="77">
        <v>65</v>
      </c>
      <c r="I19" s="77">
        <v>55734</v>
      </c>
      <c r="J19" s="395" t="s">
        <v>1229</v>
      </c>
      <c r="K19" s="392" t="s">
        <v>1229</v>
      </c>
      <c r="L19" s="395" t="s">
        <v>1229</v>
      </c>
      <c r="M19" s="392" t="s">
        <v>1229</v>
      </c>
      <c r="N19" s="395" t="s">
        <v>1229</v>
      </c>
      <c r="O19" s="392" t="s">
        <v>1229</v>
      </c>
      <c r="P19" s="392">
        <v>6</v>
      </c>
      <c r="Q19" s="370" t="s">
        <v>1229</v>
      </c>
      <c r="R19" s="392">
        <f t="shared" si="3"/>
        <v>6</v>
      </c>
    </row>
    <row r="20" spans="1:19" ht="26.25" customHeight="1">
      <c r="A20" s="1292"/>
      <c r="B20" s="1293" t="s">
        <v>409</v>
      </c>
      <c r="C20" s="163" t="s">
        <v>760</v>
      </c>
      <c r="D20" s="392">
        <v>1</v>
      </c>
      <c r="E20" s="370">
        <v>10</v>
      </c>
      <c r="F20" s="392">
        <v>167</v>
      </c>
      <c r="G20" s="370">
        <v>49</v>
      </c>
      <c r="H20" s="77">
        <v>47</v>
      </c>
      <c r="I20" s="77">
        <v>50413</v>
      </c>
      <c r="J20" s="395" t="s">
        <v>1229</v>
      </c>
      <c r="K20" s="392" t="s">
        <v>1229</v>
      </c>
      <c r="L20" s="395" t="s">
        <v>1229</v>
      </c>
      <c r="M20" s="392" t="s">
        <v>1229</v>
      </c>
      <c r="N20" s="395" t="s">
        <v>1229</v>
      </c>
      <c r="O20" s="392" t="s">
        <v>1229</v>
      </c>
      <c r="P20" s="392">
        <v>2</v>
      </c>
      <c r="Q20" s="370" t="s">
        <v>1229</v>
      </c>
      <c r="R20" s="392">
        <f t="shared" si="3"/>
        <v>2</v>
      </c>
    </row>
    <row r="21" spans="1:19" ht="27" customHeight="1">
      <c r="A21" s="1292"/>
      <c r="B21" s="1293" t="s">
        <v>410</v>
      </c>
      <c r="C21" s="1436" t="s">
        <v>1194</v>
      </c>
      <c r="D21" s="392">
        <v>1</v>
      </c>
      <c r="E21" s="392">
        <v>9</v>
      </c>
      <c r="F21" s="392">
        <v>154</v>
      </c>
      <c r="G21" s="392">
        <v>46</v>
      </c>
      <c r="H21" s="77">
        <v>43</v>
      </c>
      <c r="I21" s="77">
        <v>45099</v>
      </c>
      <c r="J21" s="392" t="s">
        <v>1229</v>
      </c>
      <c r="K21" s="392" t="s">
        <v>1229</v>
      </c>
      <c r="L21" s="392" t="s">
        <v>1229</v>
      </c>
      <c r="M21" s="392" t="s">
        <v>1229</v>
      </c>
      <c r="N21" s="392" t="s">
        <v>1229</v>
      </c>
      <c r="O21" s="392" t="s">
        <v>1229</v>
      </c>
      <c r="P21" s="392" t="s">
        <v>1229</v>
      </c>
      <c r="Q21" s="392" t="s">
        <v>1229</v>
      </c>
      <c r="R21" s="392" t="str">
        <f t="shared" si="3"/>
        <v>-</v>
      </c>
    </row>
    <row r="22" spans="1:19" ht="37.5" customHeight="1">
      <c r="A22" s="1292"/>
      <c r="B22" s="1620" t="s">
        <v>1885</v>
      </c>
      <c r="C22" s="1436" t="s">
        <v>1221</v>
      </c>
      <c r="D22" s="392">
        <v>1</v>
      </c>
      <c r="E22" s="392">
        <v>19</v>
      </c>
      <c r="F22" s="392">
        <v>307</v>
      </c>
      <c r="G22" s="392">
        <v>138</v>
      </c>
      <c r="H22" s="77">
        <v>122</v>
      </c>
      <c r="I22" s="77">
        <v>97855</v>
      </c>
      <c r="J22" s="392" t="s">
        <v>1229</v>
      </c>
      <c r="K22" s="392" t="s">
        <v>1229</v>
      </c>
      <c r="L22" s="392" t="s">
        <v>1229</v>
      </c>
      <c r="M22" s="392" t="s">
        <v>1229</v>
      </c>
      <c r="N22" s="392" t="s">
        <v>1229</v>
      </c>
      <c r="O22" s="392" t="s">
        <v>1229</v>
      </c>
      <c r="P22" s="392">
        <v>12</v>
      </c>
      <c r="Q22" s="392" t="s">
        <v>1229</v>
      </c>
      <c r="R22" s="392">
        <f t="shared" si="3"/>
        <v>12</v>
      </c>
    </row>
    <row r="23" spans="1:19" ht="39.75" customHeight="1">
      <c r="A23" s="1292"/>
      <c r="B23" s="1293" t="s">
        <v>412</v>
      </c>
      <c r="C23" s="163" t="s">
        <v>761</v>
      </c>
      <c r="D23" s="392">
        <v>1</v>
      </c>
      <c r="E23" s="370">
        <v>9</v>
      </c>
      <c r="F23" s="392">
        <v>161</v>
      </c>
      <c r="G23" s="370">
        <v>83</v>
      </c>
      <c r="H23" s="77">
        <v>80</v>
      </c>
      <c r="I23" s="77">
        <v>51711</v>
      </c>
      <c r="J23" s="395" t="s">
        <v>1229</v>
      </c>
      <c r="K23" s="392" t="s">
        <v>1229</v>
      </c>
      <c r="L23" s="395" t="s">
        <v>1229</v>
      </c>
      <c r="M23" s="392" t="s">
        <v>1229</v>
      </c>
      <c r="N23" s="395" t="s">
        <v>1229</v>
      </c>
      <c r="O23" s="392" t="s">
        <v>1229</v>
      </c>
      <c r="P23" s="392">
        <v>3</v>
      </c>
      <c r="Q23" s="370" t="s">
        <v>1229</v>
      </c>
      <c r="R23" s="392">
        <f t="shared" si="3"/>
        <v>3</v>
      </c>
    </row>
    <row r="24" spans="1:19" ht="38.25" customHeight="1">
      <c r="A24" s="1292"/>
      <c r="B24" s="1293" t="s">
        <v>1882</v>
      </c>
      <c r="C24" s="1436" t="s">
        <v>762</v>
      </c>
      <c r="D24" s="392">
        <v>1</v>
      </c>
      <c r="E24" s="370">
        <v>10</v>
      </c>
      <c r="F24" s="392">
        <v>159</v>
      </c>
      <c r="G24" s="395">
        <v>60</v>
      </c>
      <c r="H24" s="77">
        <v>60</v>
      </c>
      <c r="I24" s="77">
        <v>50209</v>
      </c>
      <c r="J24" s="395" t="s">
        <v>1229</v>
      </c>
      <c r="K24" s="392" t="s">
        <v>1229</v>
      </c>
      <c r="L24" s="395" t="s">
        <v>1229</v>
      </c>
      <c r="M24" s="392" t="s">
        <v>1229</v>
      </c>
      <c r="N24" s="395" t="s">
        <v>1229</v>
      </c>
      <c r="O24" s="392" t="s">
        <v>1229</v>
      </c>
      <c r="P24" s="392" t="s">
        <v>1229</v>
      </c>
      <c r="Q24" s="370" t="s">
        <v>1229</v>
      </c>
      <c r="R24" s="392" t="str">
        <f t="shared" si="3"/>
        <v>-</v>
      </c>
    </row>
    <row r="25" spans="1:19" ht="16.5" customHeight="1">
      <c r="A25" s="1292"/>
      <c r="B25" s="536" t="s">
        <v>1770</v>
      </c>
      <c r="C25" s="163" t="s">
        <v>836</v>
      </c>
      <c r="D25" s="392" t="s">
        <v>1229</v>
      </c>
      <c r="E25" s="392" t="s">
        <v>1229</v>
      </c>
      <c r="F25" s="392" t="s">
        <v>1229</v>
      </c>
      <c r="G25" s="395" t="s">
        <v>1229</v>
      </c>
      <c r="H25" s="392" t="s">
        <v>1229</v>
      </c>
      <c r="I25" s="77">
        <v>6036</v>
      </c>
      <c r="J25" s="392" t="s">
        <v>1229</v>
      </c>
      <c r="K25" s="392" t="s">
        <v>1229</v>
      </c>
      <c r="L25" s="392">
        <v>1</v>
      </c>
      <c r="M25" s="392">
        <v>14</v>
      </c>
      <c r="N25" s="392" t="s">
        <v>1229</v>
      </c>
      <c r="O25" s="392" t="s">
        <v>1229</v>
      </c>
      <c r="P25" s="392" t="s">
        <v>1229</v>
      </c>
      <c r="Q25" s="392" t="s">
        <v>1229</v>
      </c>
      <c r="R25" s="392">
        <f>IF(SUM(J25,L25,N25,P25,Q25)=0,"-",SUM(J25,L25,N25,P25,Q25))</f>
        <v>1</v>
      </c>
    </row>
    <row r="26" spans="1:19" ht="40.5" customHeight="1">
      <c r="A26" s="1292"/>
      <c r="B26" s="1293" t="s">
        <v>1885</v>
      </c>
      <c r="C26" s="163" t="s">
        <v>1222</v>
      </c>
      <c r="D26" s="392" t="s">
        <v>1229</v>
      </c>
      <c r="E26" s="370" t="s">
        <v>1229</v>
      </c>
      <c r="F26" s="392" t="s">
        <v>1229</v>
      </c>
      <c r="G26" s="370" t="s">
        <v>1229</v>
      </c>
      <c r="H26" s="392" t="s">
        <v>1229</v>
      </c>
      <c r="I26" s="77">
        <v>13226</v>
      </c>
      <c r="J26" s="395" t="s">
        <v>1229</v>
      </c>
      <c r="K26" s="392" t="s">
        <v>1229</v>
      </c>
      <c r="L26" s="395">
        <v>1</v>
      </c>
      <c r="M26" s="392">
        <v>17</v>
      </c>
      <c r="N26" s="395" t="s">
        <v>1229</v>
      </c>
      <c r="O26" s="392" t="s">
        <v>1229</v>
      </c>
      <c r="P26" s="392" t="s">
        <v>1229</v>
      </c>
      <c r="Q26" s="370" t="s">
        <v>1229</v>
      </c>
      <c r="R26" s="392">
        <f>IF(SUM(J26,L26,N26,P26,Q26)=0,"-",SUM(J26,L26,N26,P26,Q26))</f>
        <v>1</v>
      </c>
    </row>
    <row r="27" spans="1:19" ht="16.5" customHeight="1">
      <c r="A27" s="1624"/>
      <c r="B27" s="1625" t="s">
        <v>516</v>
      </c>
      <c r="C27" s="1626" t="s">
        <v>1736</v>
      </c>
      <c r="D27" s="1621" t="s">
        <v>1229</v>
      </c>
      <c r="E27" s="1621" t="s">
        <v>1229</v>
      </c>
      <c r="F27" s="1621" t="s">
        <v>1229</v>
      </c>
      <c r="G27" s="1621" t="s">
        <v>1229</v>
      </c>
      <c r="H27" s="1621" t="s">
        <v>1229</v>
      </c>
      <c r="I27" s="1622">
        <v>106604</v>
      </c>
      <c r="J27" s="1621" t="s">
        <v>1229</v>
      </c>
      <c r="K27" s="1621" t="s">
        <v>1229</v>
      </c>
      <c r="L27" s="1621">
        <v>1</v>
      </c>
      <c r="M27" s="1621">
        <v>35</v>
      </c>
      <c r="N27" s="1621" t="s">
        <v>1229</v>
      </c>
      <c r="O27" s="1621" t="s">
        <v>1229</v>
      </c>
      <c r="P27" s="1621" t="s">
        <v>1229</v>
      </c>
      <c r="Q27" s="1621" t="s">
        <v>1229</v>
      </c>
      <c r="R27" s="1621">
        <f>IF(SUM(J27,L27,N27,P27,Q27)=0,"-",SUM(J27,L27,N27,P27,Q27))</f>
        <v>1</v>
      </c>
    </row>
    <row r="28" spans="1:19" ht="16.5" customHeight="1">
      <c r="R28" s="1065" t="s">
        <v>678</v>
      </c>
      <c r="S28" s="559"/>
    </row>
    <row r="29" spans="1:19" ht="12" customHeight="1">
      <c r="A29" s="1739" t="s">
        <v>1575</v>
      </c>
      <c r="B29" s="1739"/>
      <c r="C29" s="1739"/>
      <c r="D29" s="1739"/>
      <c r="E29" s="1739"/>
      <c r="F29" s="1739"/>
      <c r="G29" s="1739"/>
      <c r="H29" s="1739"/>
      <c r="I29" s="1739"/>
      <c r="J29" s="1739"/>
      <c r="K29" s="1739"/>
      <c r="L29" s="1739"/>
      <c r="M29" s="1739"/>
      <c r="N29" s="1739"/>
      <c r="O29" s="1739"/>
      <c r="P29" s="1739"/>
      <c r="Q29" s="1739"/>
      <c r="R29" s="1739"/>
      <c r="S29" s="559"/>
    </row>
    <row r="30" spans="1:19" ht="11.25" customHeight="1">
      <c r="A30" s="288"/>
      <c r="B30" s="288"/>
      <c r="C30" s="288"/>
      <c r="D30" s="288"/>
      <c r="E30" s="288"/>
      <c r="F30" s="288"/>
      <c r="G30" s="288"/>
      <c r="H30" s="288"/>
      <c r="I30" s="288"/>
      <c r="J30" s="288"/>
      <c r="K30" s="288"/>
      <c r="L30" s="288"/>
      <c r="M30" s="288"/>
      <c r="N30" s="288"/>
      <c r="O30" s="288"/>
      <c r="P30" s="288"/>
      <c r="Q30" s="288"/>
      <c r="R30" s="1035" t="s">
        <v>977</v>
      </c>
      <c r="S30" s="559"/>
    </row>
    <row r="31" spans="1:19" s="13" customFormat="1" ht="12" customHeight="1">
      <c r="A31" s="1746" t="s">
        <v>972</v>
      </c>
      <c r="B31" s="1737" t="s">
        <v>294</v>
      </c>
      <c r="C31" s="1737" t="s">
        <v>1584</v>
      </c>
      <c r="D31" s="1732" t="s">
        <v>973</v>
      </c>
      <c r="E31" s="1713"/>
      <c r="F31" s="1714"/>
      <c r="G31" s="1723" t="s">
        <v>331</v>
      </c>
      <c r="H31" s="1737" t="s">
        <v>164</v>
      </c>
      <c r="I31" s="1737" t="s">
        <v>332</v>
      </c>
      <c r="J31" s="1713" t="s">
        <v>978</v>
      </c>
      <c r="K31" s="1713"/>
      <c r="L31" s="1713"/>
      <c r="M31" s="1713"/>
      <c r="N31" s="1713"/>
      <c r="O31" s="1713"/>
      <c r="P31" s="1713"/>
      <c r="Q31" s="1713"/>
      <c r="R31" s="1714"/>
    </row>
    <row r="32" spans="1:19" s="13" customFormat="1" ht="27" customHeight="1">
      <c r="A32" s="1747"/>
      <c r="B32" s="1734"/>
      <c r="C32" s="1743"/>
      <c r="D32" s="1733" t="s">
        <v>974</v>
      </c>
      <c r="E32" s="1740" t="s">
        <v>975</v>
      </c>
      <c r="F32" s="1737" t="s">
        <v>844</v>
      </c>
      <c r="G32" s="1725"/>
      <c r="H32" s="1738"/>
      <c r="I32" s="1738"/>
      <c r="J32" s="1744" t="s">
        <v>544</v>
      </c>
      <c r="K32" s="1745"/>
      <c r="L32" s="1723" t="s">
        <v>842</v>
      </c>
      <c r="M32" s="1724"/>
      <c r="N32" s="1742" t="s">
        <v>546</v>
      </c>
      <c r="O32" s="1724"/>
      <c r="P32" s="252" t="s">
        <v>543</v>
      </c>
      <c r="Q32" s="909" t="s">
        <v>569</v>
      </c>
      <c r="R32" s="1737" t="s">
        <v>958</v>
      </c>
    </row>
    <row r="33" spans="1:18" s="13" customFormat="1" ht="12.75" customHeight="1">
      <c r="A33" s="1748"/>
      <c r="B33" s="1735"/>
      <c r="C33" s="1738"/>
      <c r="D33" s="1735"/>
      <c r="E33" s="1741"/>
      <c r="F33" s="1738"/>
      <c r="G33" s="1294" t="s">
        <v>976</v>
      </c>
      <c r="H33" s="1295" t="s">
        <v>542</v>
      </c>
      <c r="I33" s="1295" t="s">
        <v>542</v>
      </c>
      <c r="J33" s="142" t="s">
        <v>979</v>
      </c>
      <c r="K33" s="260" t="s">
        <v>980</v>
      </c>
      <c r="L33" s="140" t="s">
        <v>979</v>
      </c>
      <c r="M33" s="142" t="s">
        <v>980</v>
      </c>
      <c r="N33" s="140" t="s">
        <v>979</v>
      </c>
      <c r="O33" s="142" t="s">
        <v>980</v>
      </c>
      <c r="P33" s="1482" t="s">
        <v>542</v>
      </c>
      <c r="Q33" s="1482" t="s">
        <v>542</v>
      </c>
      <c r="R33" s="1738"/>
    </row>
    <row r="34" spans="1:18" ht="12.75" customHeight="1">
      <c r="A34" s="118" t="s">
        <v>928</v>
      </c>
      <c r="B34" s="199" t="s">
        <v>929</v>
      </c>
      <c r="C34" s="199" t="s">
        <v>930</v>
      </c>
      <c r="D34" s="199" t="s">
        <v>931</v>
      </c>
      <c r="E34" s="119" t="s">
        <v>932</v>
      </c>
      <c r="F34" s="199" t="s">
        <v>933</v>
      </c>
      <c r="G34" s="119" t="s">
        <v>934</v>
      </c>
      <c r="H34" s="199" t="s">
        <v>959</v>
      </c>
      <c r="I34" s="199" t="s">
        <v>960</v>
      </c>
      <c r="J34" s="118" t="s">
        <v>961</v>
      </c>
      <c r="K34" s="199" t="s">
        <v>962</v>
      </c>
      <c r="L34" s="118" t="s">
        <v>1037</v>
      </c>
      <c r="M34" s="199" t="s">
        <v>1038</v>
      </c>
      <c r="N34" s="199" t="s">
        <v>1039</v>
      </c>
      <c r="O34" s="120" t="s">
        <v>1040</v>
      </c>
      <c r="P34" s="199" t="s">
        <v>1041</v>
      </c>
      <c r="Q34" s="119" t="s">
        <v>1042</v>
      </c>
      <c r="R34" s="199" t="s">
        <v>1044</v>
      </c>
    </row>
    <row r="35" spans="1:18" ht="12" customHeight="1">
      <c r="A35" s="1758" t="s">
        <v>341</v>
      </c>
      <c r="B35" s="918">
        <v>6</v>
      </c>
      <c r="C35" s="920" t="s">
        <v>1118</v>
      </c>
      <c r="D35" s="918">
        <f t="shared" ref="D35:R35" si="4">IF(SUM(D36:D39)=0,"-",SUM(D36:D39))</f>
        <v>4</v>
      </c>
      <c r="E35" s="342">
        <f t="shared" si="4"/>
        <v>46</v>
      </c>
      <c r="F35" s="918">
        <f t="shared" si="4"/>
        <v>760</v>
      </c>
      <c r="G35" s="342">
        <f t="shared" si="4"/>
        <v>241</v>
      </c>
      <c r="H35" s="1437">
        <f>IF(SUM(H36:H39)=0,"-",SUM(H36:H39))</f>
        <v>228</v>
      </c>
      <c r="I35" s="1437">
        <f>IF(SUM(I36:I39)=0,"-",SUM(I36:I39))</f>
        <v>242767</v>
      </c>
      <c r="J35" s="345" t="str">
        <f t="shared" si="4"/>
        <v>-</v>
      </c>
      <c r="K35" s="918" t="str">
        <f t="shared" si="4"/>
        <v>-</v>
      </c>
      <c r="L35" s="345" t="str">
        <f t="shared" si="4"/>
        <v>-</v>
      </c>
      <c r="M35" s="918" t="str">
        <f t="shared" si="4"/>
        <v>-</v>
      </c>
      <c r="N35" s="918" t="str">
        <f t="shared" si="4"/>
        <v>-</v>
      </c>
      <c r="O35" s="921" t="str">
        <f t="shared" si="4"/>
        <v>-</v>
      </c>
      <c r="P35" s="918">
        <f t="shared" si="4"/>
        <v>10</v>
      </c>
      <c r="Q35" s="342" t="str">
        <f t="shared" si="4"/>
        <v>-</v>
      </c>
      <c r="R35" s="918">
        <f t="shared" si="4"/>
        <v>10</v>
      </c>
    </row>
    <row r="36" spans="1:18" ht="27" customHeight="1">
      <c r="A36" s="1759"/>
      <c r="B36" s="1542" t="s">
        <v>413</v>
      </c>
      <c r="C36" s="163" t="s">
        <v>1223</v>
      </c>
      <c r="D36" s="392">
        <v>1</v>
      </c>
      <c r="E36" s="370">
        <v>10</v>
      </c>
      <c r="F36" s="392">
        <v>196</v>
      </c>
      <c r="G36" s="370">
        <v>61</v>
      </c>
      <c r="H36" s="77">
        <v>53</v>
      </c>
      <c r="I36" s="77">
        <v>64041</v>
      </c>
      <c r="J36" s="395" t="s">
        <v>1229</v>
      </c>
      <c r="K36" s="392" t="s">
        <v>1229</v>
      </c>
      <c r="L36" s="395" t="s">
        <v>1229</v>
      </c>
      <c r="M36" s="392" t="s">
        <v>1229</v>
      </c>
      <c r="N36" s="392" t="s">
        <v>1229</v>
      </c>
      <c r="O36" s="374" t="s">
        <v>1229</v>
      </c>
      <c r="P36" s="392">
        <v>8</v>
      </c>
      <c r="Q36" s="370" t="s">
        <v>1229</v>
      </c>
      <c r="R36" s="392">
        <f>IF(SUM(J36,L36,N36,P36,Q36)=0,"-",SUM(J36,L36,N36,P36,Q36))</f>
        <v>8</v>
      </c>
    </row>
    <row r="37" spans="1:18" ht="12" customHeight="1">
      <c r="A37" s="1292"/>
      <c r="B37" s="163" t="s">
        <v>414</v>
      </c>
      <c r="C37" s="163" t="s">
        <v>1224</v>
      </c>
      <c r="D37" s="392">
        <v>1</v>
      </c>
      <c r="E37" s="370">
        <v>9</v>
      </c>
      <c r="F37" s="392">
        <v>146</v>
      </c>
      <c r="G37" s="370">
        <v>62</v>
      </c>
      <c r="H37" s="77">
        <v>61</v>
      </c>
      <c r="I37" s="77">
        <v>49711</v>
      </c>
      <c r="J37" s="395" t="s">
        <v>1229</v>
      </c>
      <c r="K37" s="392" t="s">
        <v>1229</v>
      </c>
      <c r="L37" s="395" t="s">
        <v>1229</v>
      </c>
      <c r="M37" s="392" t="s">
        <v>1229</v>
      </c>
      <c r="N37" s="392" t="s">
        <v>1229</v>
      </c>
      <c r="O37" s="374" t="s">
        <v>1229</v>
      </c>
      <c r="P37" s="392">
        <v>1</v>
      </c>
      <c r="Q37" s="370" t="s">
        <v>1229</v>
      </c>
      <c r="R37" s="392">
        <f>IF(SUM(J37,L37,N37,P37,Q37)=0,"-",SUM(J37,L37,N37,P37,Q37))</f>
        <v>1</v>
      </c>
    </row>
    <row r="38" spans="1:18" ht="24" customHeight="1">
      <c r="A38" s="1292"/>
      <c r="B38" s="1293" t="s">
        <v>1886</v>
      </c>
      <c r="C38" s="163" t="s">
        <v>1197</v>
      </c>
      <c r="D38" s="392">
        <v>1</v>
      </c>
      <c r="E38" s="370">
        <v>13</v>
      </c>
      <c r="F38" s="392">
        <v>231</v>
      </c>
      <c r="G38" s="370">
        <v>67</v>
      </c>
      <c r="H38" s="77">
        <v>64</v>
      </c>
      <c r="I38" s="77">
        <v>70818</v>
      </c>
      <c r="J38" s="395" t="s">
        <v>1229</v>
      </c>
      <c r="K38" s="392" t="s">
        <v>1229</v>
      </c>
      <c r="L38" s="395" t="s">
        <v>1229</v>
      </c>
      <c r="M38" s="392" t="s">
        <v>1229</v>
      </c>
      <c r="N38" s="392" t="s">
        <v>1229</v>
      </c>
      <c r="O38" s="374" t="s">
        <v>1229</v>
      </c>
      <c r="P38" s="392">
        <v>1</v>
      </c>
      <c r="Q38" s="370" t="s">
        <v>1229</v>
      </c>
      <c r="R38" s="392">
        <f>IF(SUM(J38,L38,N38,P38,Q38)=0,"-",SUM(J38,L38,N38,P38,Q38))</f>
        <v>1</v>
      </c>
    </row>
    <row r="39" spans="1:18" ht="24.75" customHeight="1">
      <c r="A39" s="838"/>
      <c r="B39" s="1543" t="s">
        <v>415</v>
      </c>
      <c r="C39" s="1436" t="s">
        <v>1198</v>
      </c>
      <c r="D39" s="392">
        <v>1</v>
      </c>
      <c r="E39" s="392">
        <v>14</v>
      </c>
      <c r="F39" s="392">
        <v>187</v>
      </c>
      <c r="G39" s="392">
        <v>51</v>
      </c>
      <c r="H39" s="77">
        <v>50</v>
      </c>
      <c r="I39" s="77">
        <v>58197</v>
      </c>
      <c r="J39" s="392" t="s">
        <v>1229</v>
      </c>
      <c r="K39" s="392" t="s">
        <v>1229</v>
      </c>
      <c r="L39" s="392" t="s">
        <v>1229</v>
      </c>
      <c r="M39" s="392" t="s">
        <v>1229</v>
      </c>
      <c r="N39" s="392" t="s">
        <v>1229</v>
      </c>
      <c r="O39" s="392" t="s">
        <v>1229</v>
      </c>
      <c r="P39" s="392" t="s">
        <v>1229</v>
      </c>
      <c r="Q39" s="392" t="s">
        <v>1229</v>
      </c>
      <c r="R39" s="392" t="str">
        <f>IF(SUM(J39,L39,N39,P39,Q39)=0,"-",SUM(J39,L39,N39,P39,Q39))</f>
        <v>-</v>
      </c>
    </row>
    <row r="40" spans="1:18" ht="12" customHeight="1">
      <c r="A40" s="1759" t="s">
        <v>448</v>
      </c>
      <c r="B40" s="918">
        <v>11</v>
      </c>
      <c r="C40" s="920" t="s">
        <v>1119</v>
      </c>
      <c r="D40" s="918">
        <f t="shared" ref="D40:R40" si="5">IF(SUM(D41:D50)=0,"-",SUM(D41:D50))</f>
        <v>9</v>
      </c>
      <c r="E40" s="342">
        <f t="shared" si="5"/>
        <v>99</v>
      </c>
      <c r="F40" s="918">
        <f t="shared" si="5"/>
        <v>1490</v>
      </c>
      <c r="G40" s="342">
        <f t="shared" si="5"/>
        <v>890</v>
      </c>
      <c r="H40" s="918">
        <f>IF(SUM(H41:H50)=0,"-",SUM(H41:H50))+78+110+67+89-2</f>
        <v>839</v>
      </c>
      <c r="I40" s="918">
        <f>IF(SUM(I41:I50)=0,"-",SUM(I41:I50))</f>
        <v>452356</v>
      </c>
      <c r="J40" s="345" t="str">
        <f t="shared" si="5"/>
        <v>-</v>
      </c>
      <c r="K40" s="918" t="str">
        <f t="shared" si="5"/>
        <v>-</v>
      </c>
      <c r="L40" s="345">
        <f t="shared" si="5"/>
        <v>1</v>
      </c>
      <c r="M40" s="918">
        <f t="shared" si="5"/>
        <v>16</v>
      </c>
      <c r="N40" s="918" t="str">
        <f t="shared" si="5"/>
        <v>-</v>
      </c>
      <c r="O40" s="921" t="str">
        <f t="shared" si="5"/>
        <v>-</v>
      </c>
      <c r="P40" s="918">
        <f t="shared" si="5"/>
        <v>35</v>
      </c>
      <c r="Q40" s="342" t="str">
        <f t="shared" si="5"/>
        <v>-</v>
      </c>
      <c r="R40" s="918">
        <f t="shared" si="5"/>
        <v>36</v>
      </c>
    </row>
    <row r="41" spans="1:18" ht="12" customHeight="1">
      <c r="A41" s="1759"/>
      <c r="B41" s="313" t="s">
        <v>84</v>
      </c>
      <c r="C41" s="163" t="s">
        <v>1225</v>
      </c>
      <c r="D41" s="392">
        <v>1</v>
      </c>
      <c r="E41" s="370">
        <v>11</v>
      </c>
      <c r="F41" s="392">
        <v>186</v>
      </c>
      <c r="G41" s="370">
        <v>90</v>
      </c>
      <c r="H41" s="77" t="s">
        <v>784</v>
      </c>
      <c r="I41" s="77">
        <v>55002</v>
      </c>
      <c r="J41" s="395" t="s">
        <v>1229</v>
      </c>
      <c r="K41" s="392" t="s">
        <v>1229</v>
      </c>
      <c r="L41" s="395" t="s">
        <v>1229</v>
      </c>
      <c r="M41" s="392" t="s">
        <v>1229</v>
      </c>
      <c r="N41" s="392" t="s">
        <v>1229</v>
      </c>
      <c r="O41" s="374" t="s">
        <v>1229</v>
      </c>
      <c r="P41" s="392">
        <v>9</v>
      </c>
      <c r="Q41" s="370" t="s">
        <v>1229</v>
      </c>
      <c r="R41" s="392">
        <f t="shared" ref="R41:R50" si="6">IF(SUM(J41,L41,N41,P41,Q41)=0,"-",SUM(J41,L41,N41,P41,Q41))</f>
        <v>9</v>
      </c>
    </row>
    <row r="42" spans="1:18" ht="15" customHeight="1">
      <c r="A42" s="1759"/>
      <c r="B42" s="313" t="s">
        <v>1200</v>
      </c>
      <c r="C42" s="163" t="s">
        <v>1226</v>
      </c>
      <c r="D42" s="392">
        <v>1</v>
      </c>
      <c r="E42" s="370">
        <v>14</v>
      </c>
      <c r="F42" s="392">
        <v>214</v>
      </c>
      <c r="G42" s="370">
        <v>84</v>
      </c>
      <c r="H42" s="77">
        <v>78</v>
      </c>
      <c r="I42" s="77">
        <v>63847</v>
      </c>
      <c r="J42" s="395" t="s">
        <v>1229</v>
      </c>
      <c r="K42" s="392" t="s">
        <v>1229</v>
      </c>
      <c r="L42" s="395" t="s">
        <v>1229</v>
      </c>
      <c r="M42" s="392" t="s">
        <v>1229</v>
      </c>
      <c r="N42" s="392" t="s">
        <v>1229</v>
      </c>
      <c r="O42" s="374" t="s">
        <v>1229</v>
      </c>
      <c r="P42" s="392">
        <v>8</v>
      </c>
      <c r="Q42" s="370" t="s">
        <v>1229</v>
      </c>
      <c r="R42" s="392">
        <f t="shared" si="6"/>
        <v>8</v>
      </c>
    </row>
    <row r="43" spans="1:18" ht="12" customHeight="1">
      <c r="A43" s="1292"/>
      <c r="B43" s="313" t="s">
        <v>837</v>
      </c>
      <c r="C43" s="163" t="s">
        <v>837</v>
      </c>
      <c r="D43" s="392">
        <v>1</v>
      </c>
      <c r="E43" s="370">
        <v>10</v>
      </c>
      <c r="F43" s="392">
        <v>159</v>
      </c>
      <c r="G43" s="370">
        <v>112</v>
      </c>
      <c r="H43" s="77" t="s">
        <v>785</v>
      </c>
      <c r="I43" s="77">
        <v>45010</v>
      </c>
      <c r="J43" s="395" t="s">
        <v>1229</v>
      </c>
      <c r="K43" s="392" t="s">
        <v>1229</v>
      </c>
      <c r="L43" s="395" t="s">
        <v>1229</v>
      </c>
      <c r="M43" s="392" t="s">
        <v>1229</v>
      </c>
      <c r="N43" s="392" t="s">
        <v>1229</v>
      </c>
      <c r="O43" s="374" t="s">
        <v>1229</v>
      </c>
      <c r="P43" s="392">
        <v>3</v>
      </c>
      <c r="Q43" s="370" t="s">
        <v>1229</v>
      </c>
      <c r="R43" s="392">
        <f t="shared" si="6"/>
        <v>3</v>
      </c>
    </row>
    <row r="44" spans="1:18" ht="24.75" customHeight="1">
      <c r="A44" s="1292"/>
      <c r="B44" s="1293" t="s">
        <v>416</v>
      </c>
      <c r="C44" s="163" t="s">
        <v>1203</v>
      </c>
      <c r="D44" s="392">
        <v>1</v>
      </c>
      <c r="E44" s="370">
        <v>14</v>
      </c>
      <c r="F44" s="392">
        <v>195</v>
      </c>
      <c r="G44" s="370">
        <v>182</v>
      </c>
      <c r="H44" s="77">
        <v>172</v>
      </c>
      <c r="I44" s="77">
        <v>59078</v>
      </c>
      <c r="J44" s="395" t="s">
        <v>1229</v>
      </c>
      <c r="K44" s="392" t="s">
        <v>1287</v>
      </c>
      <c r="L44" s="395" t="s">
        <v>1229</v>
      </c>
      <c r="M44" s="392" t="s">
        <v>1229</v>
      </c>
      <c r="N44" s="392" t="s">
        <v>1229</v>
      </c>
      <c r="O44" s="374" t="s">
        <v>1229</v>
      </c>
      <c r="P44" s="392">
        <v>2</v>
      </c>
      <c r="Q44" s="370" t="s">
        <v>1229</v>
      </c>
      <c r="R44" s="392">
        <f t="shared" si="6"/>
        <v>2</v>
      </c>
    </row>
    <row r="45" spans="1:18" ht="12" customHeight="1">
      <c r="A45" s="1292"/>
      <c r="B45" s="313" t="s">
        <v>1204</v>
      </c>
      <c r="C45" s="163" t="s">
        <v>1204</v>
      </c>
      <c r="D45" s="392">
        <v>1</v>
      </c>
      <c r="E45" s="370">
        <v>13</v>
      </c>
      <c r="F45" s="392">
        <v>186</v>
      </c>
      <c r="G45" s="370">
        <v>133</v>
      </c>
      <c r="H45" s="77">
        <v>129</v>
      </c>
      <c r="I45" s="77">
        <v>57153</v>
      </c>
      <c r="J45" s="395" t="s">
        <v>1229</v>
      </c>
      <c r="K45" s="392" t="s">
        <v>1229</v>
      </c>
      <c r="L45" s="395" t="s">
        <v>1229</v>
      </c>
      <c r="M45" s="392" t="s">
        <v>1229</v>
      </c>
      <c r="N45" s="392" t="s">
        <v>1229</v>
      </c>
      <c r="O45" s="374" t="s">
        <v>1229</v>
      </c>
      <c r="P45" s="392">
        <v>4</v>
      </c>
      <c r="Q45" s="370" t="s">
        <v>1229</v>
      </c>
      <c r="R45" s="392">
        <f t="shared" si="6"/>
        <v>4</v>
      </c>
    </row>
    <row r="46" spans="1:18" ht="38.25" customHeight="1">
      <c r="A46" s="1292"/>
      <c r="B46" s="1293" t="s">
        <v>1888</v>
      </c>
      <c r="C46" s="163" t="s">
        <v>1744</v>
      </c>
      <c r="D46" s="392">
        <v>1</v>
      </c>
      <c r="E46" s="370">
        <v>8</v>
      </c>
      <c r="F46" s="392">
        <v>110</v>
      </c>
      <c r="G46" s="370">
        <v>71</v>
      </c>
      <c r="H46" s="77" t="s">
        <v>786</v>
      </c>
      <c r="I46" s="77">
        <v>33206</v>
      </c>
      <c r="J46" s="395" t="s">
        <v>1229</v>
      </c>
      <c r="K46" s="392" t="s">
        <v>1229</v>
      </c>
      <c r="L46" s="395" t="s">
        <v>1229</v>
      </c>
      <c r="M46" s="392" t="s">
        <v>1229</v>
      </c>
      <c r="N46" s="392" t="s">
        <v>1229</v>
      </c>
      <c r="O46" s="374" t="s">
        <v>1229</v>
      </c>
      <c r="P46" s="392">
        <v>4</v>
      </c>
      <c r="Q46" s="370" t="s">
        <v>1229</v>
      </c>
      <c r="R46" s="392">
        <f t="shared" si="6"/>
        <v>4</v>
      </c>
    </row>
    <row r="47" spans="1:18" ht="37.5" customHeight="1">
      <c r="A47" s="1292"/>
      <c r="B47" s="1293" t="s">
        <v>1889</v>
      </c>
      <c r="C47" s="163" t="s">
        <v>1745</v>
      </c>
      <c r="D47" s="392">
        <v>1</v>
      </c>
      <c r="E47" s="370">
        <v>8</v>
      </c>
      <c r="F47" s="392">
        <v>136</v>
      </c>
      <c r="G47" s="370">
        <v>92</v>
      </c>
      <c r="H47" s="77" t="s">
        <v>787</v>
      </c>
      <c r="I47" s="77">
        <v>42522</v>
      </c>
      <c r="J47" s="395" t="s">
        <v>1229</v>
      </c>
      <c r="K47" s="392" t="s">
        <v>1229</v>
      </c>
      <c r="L47" s="395" t="s">
        <v>1229</v>
      </c>
      <c r="M47" s="392" t="s">
        <v>1229</v>
      </c>
      <c r="N47" s="392" t="s">
        <v>1229</v>
      </c>
      <c r="O47" s="374" t="s">
        <v>1229</v>
      </c>
      <c r="P47" s="392">
        <v>1</v>
      </c>
      <c r="Q47" s="370" t="s">
        <v>1229</v>
      </c>
      <c r="R47" s="392">
        <f t="shared" si="6"/>
        <v>1</v>
      </c>
    </row>
    <row r="48" spans="1:18" ht="24.75" customHeight="1">
      <c r="A48" s="1292"/>
      <c r="B48" s="1293" t="s">
        <v>417</v>
      </c>
      <c r="C48" s="163" t="s">
        <v>1227</v>
      </c>
      <c r="D48" s="392">
        <v>1</v>
      </c>
      <c r="E48" s="370">
        <v>10</v>
      </c>
      <c r="F48" s="392">
        <v>137</v>
      </c>
      <c r="G48" s="370">
        <v>99</v>
      </c>
      <c r="H48" s="77">
        <v>91</v>
      </c>
      <c r="I48" s="77">
        <v>40602</v>
      </c>
      <c r="J48" s="395" t="s">
        <v>1229</v>
      </c>
      <c r="K48" s="392" t="s">
        <v>1229</v>
      </c>
      <c r="L48" s="395" t="s">
        <v>1229</v>
      </c>
      <c r="M48" s="392" t="s">
        <v>1229</v>
      </c>
      <c r="N48" s="392" t="s">
        <v>1229</v>
      </c>
      <c r="O48" s="374" t="s">
        <v>1229</v>
      </c>
      <c r="P48" s="392">
        <v>4</v>
      </c>
      <c r="Q48" s="370" t="s">
        <v>1229</v>
      </c>
      <c r="R48" s="392">
        <f t="shared" si="6"/>
        <v>4</v>
      </c>
    </row>
    <row r="49" spans="1:18" ht="12" customHeight="1">
      <c r="A49" s="1292"/>
      <c r="B49" s="313" t="s">
        <v>85</v>
      </c>
      <c r="C49" s="163" t="s">
        <v>1228</v>
      </c>
      <c r="D49" s="392">
        <v>1</v>
      </c>
      <c r="E49" s="370">
        <v>11</v>
      </c>
      <c r="F49" s="392">
        <v>167</v>
      </c>
      <c r="G49" s="370">
        <v>27</v>
      </c>
      <c r="H49" s="77">
        <v>27</v>
      </c>
      <c r="I49" s="77">
        <v>45888</v>
      </c>
      <c r="J49" s="395" t="s">
        <v>1229</v>
      </c>
      <c r="K49" s="392" t="s">
        <v>1229</v>
      </c>
      <c r="L49" s="395" t="s">
        <v>1229</v>
      </c>
      <c r="M49" s="392" t="s">
        <v>1229</v>
      </c>
      <c r="N49" s="392" t="s">
        <v>1229</v>
      </c>
      <c r="O49" s="374" t="s">
        <v>1229</v>
      </c>
      <c r="P49" s="392" t="s">
        <v>1229</v>
      </c>
      <c r="Q49" s="370" t="s">
        <v>1229</v>
      </c>
      <c r="R49" s="392" t="str">
        <f t="shared" si="6"/>
        <v>-</v>
      </c>
    </row>
    <row r="50" spans="1:18" ht="24.75" customHeight="1">
      <c r="A50" s="1292"/>
      <c r="B50" s="1293" t="s">
        <v>1887</v>
      </c>
      <c r="C50" s="163" t="s">
        <v>863</v>
      </c>
      <c r="D50" s="498" t="s">
        <v>1229</v>
      </c>
      <c r="E50" s="28" t="s">
        <v>1229</v>
      </c>
      <c r="F50" s="392" t="s">
        <v>1229</v>
      </c>
      <c r="G50" s="370" t="s">
        <v>1229</v>
      </c>
      <c r="H50" s="392" t="s">
        <v>1229</v>
      </c>
      <c r="I50" s="77">
        <v>10048</v>
      </c>
      <c r="J50" s="395" t="s">
        <v>1229</v>
      </c>
      <c r="K50" s="392" t="s">
        <v>1229</v>
      </c>
      <c r="L50" s="395">
        <v>1</v>
      </c>
      <c r="M50" s="392">
        <v>16</v>
      </c>
      <c r="N50" s="392" t="s">
        <v>1229</v>
      </c>
      <c r="O50" s="374" t="s">
        <v>1229</v>
      </c>
      <c r="P50" s="392" t="s">
        <v>1229</v>
      </c>
      <c r="Q50" s="370" t="s">
        <v>1229</v>
      </c>
      <c r="R50" s="392">
        <f t="shared" si="6"/>
        <v>1</v>
      </c>
    </row>
    <row r="51" spans="1:18" ht="12" customHeight="1">
      <c r="A51" s="1759" t="s">
        <v>342</v>
      </c>
      <c r="B51" s="918">
        <v>8</v>
      </c>
      <c r="C51" s="920" t="s">
        <v>1118</v>
      </c>
      <c r="D51" s="918">
        <f t="shared" ref="D51:R51" si="7">IF(SUM(D52:D55)=0,"-",SUM(D52:D55))</f>
        <v>4</v>
      </c>
      <c r="E51" s="342">
        <f t="shared" si="7"/>
        <v>42</v>
      </c>
      <c r="F51" s="918">
        <f t="shared" si="7"/>
        <v>692</v>
      </c>
      <c r="G51" s="342">
        <f t="shared" si="7"/>
        <v>217</v>
      </c>
      <c r="H51" s="918">
        <f t="shared" si="7"/>
        <v>202</v>
      </c>
      <c r="I51" s="918">
        <f t="shared" si="7"/>
        <v>214991</v>
      </c>
      <c r="J51" s="345" t="str">
        <f t="shared" si="7"/>
        <v>-</v>
      </c>
      <c r="K51" s="918" t="str">
        <f t="shared" si="7"/>
        <v>-</v>
      </c>
      <c r="L51" s="345" t="str">
        <f t="shared" si="7"/>
        <v>-</v>
      </c>
      <c r="M51" s="918" t="str">
        <f t="shared" si="7"/>
        <v>-</v>
      </c>
      <c r="N51" s="918" t="str">
        <f t="shared" si="7"/>
        <v>-</v>
      </c>
      <c r="O51" s="921" t="str">
        <f t="shared" si="7"/>
        <v>-</v>
      </c>
      <c r="P51" s="918" t="str">
        <f t="shared" si="7"/>
        <v>-</v>
      </c>
      <c r="Q51" s="342" t="str">
        <f t="shared" si="7"/>
        <v>-</v>
      </c>
      <c r="R51" s="918" t="str">
        <f t="shared" si="7"/>
        <v>-</v>
      </c>
    </row>
    <row r="52" spans="1:18" ht="24.75" customHeight="1">
      <c r="A52" s="1759"/>
      <c r="B52" s="1293" t="s">
        <v>418</v>
      </c>
      <c r="C52" s="163" t="s">
        <v>1205</v>
      </c>
      <c r="D52" s="392">
        <v>1</v>
      </c>
      <c r="E52" s="370">
        <v>11</v>
      </c>
      <c r="F52" s="392">
        <v>177</v>
      </c>
      <c r="G52" s="370">
        <v>39</v>
      </c>
      <c r="H52" s="77">
        <v>39</v>
      </c>
      <c r="I52" s="77">
        <v>60201</v>
      </c>
      <c r="J52" s="395" t="s">
        <v>1229</v>
      </c>
      <c r="K52" s="392" t="s">
        <v>1229</v>
      </c>
      <c r="L52" s="395" t="s">
        <v>1229</v>
      </c>
      <c r="M52" s="392" t="s">
        <v>1229</v>
      </c>
      <c r="N52" s="392" t="s">
        <v>1229</v>
      </c>
      <c r="O52" s="374" t="s">
        <v>1229</v>
      </c>
      <c r="P52" s="392" t="s">
        <v>1229</v>
      </c>
      <c r="Q52" s="370" t="s">
        <v>1229</v>
      </c>
      <c r="R52" s="392" t="str">
        <f>IF(SUM(J52,L52,N52,P52,Q52)=0,"-",SUM(J52,L52,N52,P52,Q52))</f>
        <v>-</v>
      </c>
    </row>
    <row r="53" spans="1:18" ht="39.75" customHeight="1">
      <c r="A53" s="1292"/>
      <c r="B53" s="1293" t="s">
        <v>1890</v>
      </c>
      <c r="C53" s="163" t="s">
        <v>1206</v>
      </c>
      <c r="D53" s="392">
        <v>1</v>
      </c>
      <c r="E53" s="392">
        <v>7</v>
      </c>
      <c r="F53" s="392">
        <v>131</v>
      </c>
      <c r="G53" s="392">
        <v>39</v>
      </c>
      <c r="H53" s="77">
        <v>34</v>
      </c>
      <c r="I53" s="77">
        <v>41433</v>
      </c>
      <c r="J53" s="392" t="s">
        <v>1229</v>
      </c>
      <c r="K53" s="392" t="s">
        <v>1229</v>
      </c>
      <c r="L53" s="392" t="s">
        <v>1229</v>
      </c>
      <c r="M53" s="392" t="s">
        <v>1229</v>
      </c>
      <c r="N53" s="392" t="s">
        <v>1229</v>
      </c>
      <c r="O53" s="392" t="s">
        <v>1229</v>
      </c>
      <c r="P53" s="392" t="s">
        <v>1229</v>
      </c>
      <c r="Q53" s="392" t="s">
        <v>1229</v>
      </c>
      <c r="R53" s="392" t="str">
        <f>IF(SUM(J53,L53,N53,P53,Q53)=0,"-",SUM(J53,L53,N53,P53,Q53))</f>
        <v>-</v>
      </c>
    </row>
    <row r="54" spans="1:18" ht="26.25" customHeight="1">
      <c r="A54" s="1292"/>
      <c r="B54" s="1293" t="s">
        <v>1891</v>
      </c>
      <c r="C54" s="163" t="s">
        <v>1207</v>
      </c>
      <c r="D54" s="392">
        <v>1</v>
      </c>
      <c r="E54" s="370">
        <v>9</v>
      </c>
      <c r="F54" s="392">
        <v>147</v>
      </c>
      <c r="G54" s="370">
        <v>47</v>
      </c>
      <c r="H54" s="77">
        <v>42</v>
      </c>
      <c r="I54" s="77">
        <v>43716</v>
      </c>
      <c r="J54" s="395" t="s">
        <v>1229</v>
      </c>
      <c r="K54" s="392" t="s">
        <v>1229</v>
      </c>
      <c r="L54" s="395" t="s">
        <v>1229</v>
      </c>
      <c r="M54" s="392" t="s">
        <v>1229</v>
      </c>
      <c r="N54" s="392" t="s">
        <v>1229</v>
      </c>
      <c r="O54" s="374" t="s">
        <v>1229</v>
      </c>
      <c r="P54" s="392" t="s">
        <v>1229</v>
      </c>
      <c r="Q54" s="370" t="s">
        <v>1229</v>
      </c>
      <c r="R54" s="392" t="str">
        <f>IF(SUM(J54,L54,N54,P54,Q54)=0,"-",SUM(J54,L54,N54,P54,Q54))</f>
        <v>-</v>
      </c>
    </row>
    <row r="55" spans="1:18" ht="39.75" customHeight="1">
      <c r="A55" s="1292"/>
      <c r="B55" s="1293" t="s">
        <v>1892</v>
      </c>
      <c r="C55" s="1436" t="s">
        <v>1208</v>
      </c>
      <c r="D55" s="392">
        <v>1</v>
      </c>
      <c r="E55" s="392">
        <v>15</v>
      </c>
      <c r="F55" s="392">
        <v>237</v>
      </c>
      <c r="G55" s="395">
        <v>92</v>
      </c>
      <c r="H55" s="77">
        <v>87</v>
      </c>
      <c r="I55" s="77">
        <v>69641</v>
      </c>
      <c r="J55" s="392" t="s">
        <v>1229</v>
      </c>
      <c r="K55" s="392" t="s">
        <v>1229</v>
      </c>
      <c r="L55" s="392" t="s">
        <v>1229</v>
      </c>
      <c r="M55" s="392" t="s">
        <v>1229</v>
      </c>
      <c r="N55" s="392" t="s">
        <v>1229</v>
      </c>
      <c r="O55" s="392" t="s">
        <v>1229</v>
      </c>
      <c r="P55" s="392" t="s">
        <v>1229</v>
      </c>
      <c r="Q55" s="392" t="s">
        <v>1229</v>
      </c>
      <c r="R55" s="392" t="str">
        <f>IF(SUM(J55,L55,N55,P55,Q55)=0,"-",SUM(J55,L55,N55,P55,Q55))</f>
        <v>-</v>
      </c>
    </row>
    <row r="56" spans="1:18" ht="12" customHeight="1">
      <c r="A56" s="618" t="s">
        <v>735</v>
      </c>
      <c r="B56" s="208">
        <f>IF(SUM(B8,B17,B35,B40,B51)=0,"-",SUM(B8,B17,B35,B40,B51))</f>
        <v>39</v>
      </c>
      <c r="C56" s="922" t="s">
        <v>1120</v>
      </c>
      <c r="D56" s="208">
        <f t="shared" ref="D56:R56" si="8">IF(SUM(D8,D17,D35,D40,D51)=0,"-",SUM(D8,D17,D35,D40,D51))</f>
        <v>29</v>
      </c>
      <c r="E56" s="209">
        <f t="shared" si="8"/>
        <v>310</v>
      </c>
      <c r="F56" s="208">
        <f t="shared" si="8"/>
        <v>4882</v>
      </c>
      <c r="G56" s="209">
        <f t="shared" si="8"/>
        <v>2139</v>
      </c>
      <c r="H56" s="208">
        <f t="shared" si="8"/>
        <v>1994</v>
      </c>
      <c r="I56" s="208">
        <f t="shared" si="8"/>
        <v>1781221</v>
      </c>
      <c r="J56" s="207" t="str">
        <f t="shared" si="8"/>
        <v>-</v>
      </c>
      <c r="K56" s="208" t="str">
        <f t="shared" si="8"/>
        <v>-</v>
      </c>
      <c r="L56" s="207">
        <f t="shared" si="8"/>
        <v>7</v>
      </c>
      <c r="M56" s="208">
        <f t="shared" si="8"/>
        <v>152</v>
      </c>
      <c r="N56" s="208" t="str">
        <f t="shared" si="8"/>
        <v>-</v>
      </c>
      <c r="O56" s="210" t="str">
        <f t="shared" si="8"/>
        <v>-</v>
      </c>
      <c r="P56" s="208">
        <f t="shared" si="8"/>
        <v>111</v>
      </c>
      <c r="Q56" s="209" t="str">
        <f t="shared" si="8"/>
        <v>-</v>
      </c>
      <c r="R56" s="208">
        <f t="shared" si="8"/>
        <v>118</v>
      </c>
    </row>
    <row r="57" spans="1:18" ht="12" customHeight="1">
      <c r="A57" s="1755" t="s">
        <v>1582</v>
      </c>
      <c r="B57" s="1755"/>
      <c r="C57" s="1755"/>
      <c r="D57" s="1755"/>
      <c r="E57" s="1755"/>
      <c r="F57" s="1755"/>
      <c r="G57" s="1755"/>
      <c r="H57" s="1755"/>
      <c r="I57" s="1755"/>
      <c r="J57" s="1755"/>
      <c r="K57" s="1154"/>
      <c r="L57" s="1008" t="s">
        <v>1446</v>
      </c>
      <c r="M57" s="1148" t="s">
        <v>1097</v>
      </c>
      <c r="N57" s="1229"/>
      <c r="O57" s="1229"/>
      <c r="P57" s="1154"/>
      <c r="Q57" s="1229"/>
      <c r="R57" s="1545"/>
    </row>
    <row r="58" spans="1:18" ht="11.25" customHeight="1">
      <c r="A58" s="1756"/>
      <c r="B58" s="1756"/>
      <c r="C58" s="1756"/>
      <c r="D58" s="1756"/>
      <c r="E58" s="1756"/>
      <c r="F58" s="1756"/>
      <c r="G58" s="1756"/>
      <c r="H58" s="1756"/>
      <c r="I58" s="1756"/>
      <c r="J58" s="1756"/>
      <c r="K58" s="1230"/>
      <c r="L58" s="1231"/>
      <c r="M58" s="1148" t="s">
        <v>1098</v>
      </c>
      <c r="N58" s="1148"/>
      <c r="O58" s="1148"/>
      <c r="P58" s="1148"/>
      <c r="Q58" s="1148"/>
      <c r="R58" s="1229"/>
    </row>
    <row r="59" spans="1:18" s="698" customFormat="1" ht="12" customHeight="1">
      <c r="A59" s="1757" t="s">
        <v>1583</v>
      </c>
      <c r="B59" s="1757"/>
      <c r="C59" s="1757"/>
      <c r="D59" s="1757"/>
      <c r="E59" s="1757"/>
      <c r="F59" s="1757"/>
      <c r="G59" s="1757"/>
      <c r="H59" s="1757"/>
      <c r="I59" s="1757"/>
      <c r="J59" s="1757"/>
      <c r="K59" s="1757"/>
      <c r="L59" s="1230"/>
      <c r="M59" s="1148" t="s">
        <v>296</v>
      </c>
      <c r="N59" s="1008"/>
      <c r="O59" s="1230"/>
      <c r="P59" s="1008"/>
      <c r="Q59" s="1229"/>
      <c r="R59" s="1148"/>
    </row>
    <row r="60" spans="1:18" s="698" customFormat="1" ht="13.5" customHeight="1">
      <c r="A60" s="1757"/>
      <c r="B60" s="1757"/>
      <c r="C60" s="1757"/>
      <c r="D60" s="1757"/>
      <c r="E60" s="1757"/>
      <c r="F60" s="1757"/>
      <c r="G60" s="1757"/>
      <c r="H60" s="1757"/>
      <c r="I60" s="1757"/>
      <c r="J60" s="1757"/>
      <c r="K60" s="1757"/>
      <c r="L60" s="1230"/>
      <c r="M60" s="1230"/>
      <c r="N60" s="1230"/>
      <c r="O60" s="1230"/>
      <c r="P60" s="1230"/>
      <c r="Q60" s="1230"/>
      <c r="R60" s="1149"/>
    </row>
    <row r="61" spans="1:18">
      <c r="A61" s="1230" t="s">
        <v>411</v>
      </c>
      <c r="B61" s="1544"/>
      <c r="C61" s="1154"/>
      <c r="D61" s="1154"/>
      <c r="E61" s="1154"/>
      <c r="F61" s="1154"/>
      <c r="G61" s="1154" t="s">
        <v>421</v>
      </c>
      <c r="H61" s="1154"/>
      <c r="I61" s="1154"/>
      <c r="J61" s="1154"/>
      <c r="K61" s="1154"/>
      <c r="L61" s="1154"/>
      <c r="M61" s="1154"/>
      <c r="N61" s="1154"/>
      <c r="O61" s="1154"/>
      <c r="P61" s="1154"/>
      <c r="Q61" s="1154"/>
      <c r="R61" s="1154"/>
    </row>
    <row r="62" spans="1:18" ht="13.5">
      <c r="A62" s="1230" t="s">
        <v>419</v>
      </c>
      <c r="B62" s="1154"/>
      <c r="C62" s="1154"/>
      <c r="D62" s="1154"/>
      <c r="E62" s="1154"/>
      <c r="F62" s="1154"/>
      <c r="G62" s="1607"/>
      <c r="H62" s="1154"/>
      <c r="I62" s="1154"/>
      <c r="J62" s="1154"/>
      <c r="K62" s="1154"/>
      <c r="L62" s="1154"/>
      <c r="M62" s="1154"/>
      <c r="N62" s="1154"/>
      <c r="O62" s="1154"/>
      <c r="P62" s="1154"/>
      <c r="Q62" s="1154"/>
      <c r="R62" s="1154"/>
    </row>
    <row r="64" spans="1:18" ht="12.75" customHeight="1"/>
    <row r="66" spans="1:21" ht="15.75" customHeight="1">
      <c r="E66" s="747"/>
      <c r="F66" s="747"/>
      <c r="G66" s="747"/>
      <c r="H66" s="747"/>
      <c r="I66" s="747"/>
      <c r="J66" s="747"/>
      <c r="K66" s="747"/>
      <c r="L66" s="747"/>
      <c r="M66" s="747"/>
      <c r="N66" s="747"/>
      <c r="O66" s="747"/>
      <c r="P66" s="747"/>
      <c r="Q66" s="747"/>
      <c r="R66" s="747"/>
      <c r="S66" s="747"/>
      <c r="T66" s="747"/>
      <c r="U66" s="747"/>
    </row>
    <row r="76" spans="1:21">
      <c r="A76" s="12"/>
      <c r="B76" s="12"/>
    </row>
    <row r="77" spans="1:21">
      <c r="B77" s="149"/>
    </row>
    <row r="78" spans="1:21">
      <c r="B78" s="149"/>
    </row>
    <row r="79" spans="1:21">
      <c r="A79" s="6"/>
      <c r="B79"/>
      <c r="C79"/>
      <c r="E79"/>
      <c r="F79" s="98"/>
    </row>
  </sheetData>
  <mergeCells count="41">
    <mergeCell ref="A57:J58"/>
    <mergeCell ref="A59:K60"/>
    <mergeCell ref="A35:A36"/>
    <mergeCell ref="A40:A42"/>
    <mergeCell ref="A51:A52"/>
    <mergeCell ref="J4:R4"/>
    <mergeCell ref="R5:R6"/>
    <mergeCell ref="A1:R1"/>
    <mergeCell ref="A17:A18"/>
    <mergeCell ref="A8:A9"/>
    <mergeCell ref="A4:A6"/>
    <mergeCell ref="F5:F6"/>
    <mergeCell ref="B2:R2"/>
    <mergeCell ref="L5:M5"/>
    <mergeCell ref="N5:O5"/>
    <mergeCell ref="I4:I5"/>
    <mergeCell ref="G4:G5"/>
    <mergeCell ref="H4:H5"/>
    <mergeCell ref="J5:K5"/>
    <mergeCell ref="B10:B11"/>
    <mergeCell ref="D5:D6"/>
    <mergeCell ref="E5:E6"/>
    <mergeCell ref="B4:B6"/>
    <mergeCell ref="C4:C6"/>
    <mergeCell ref="D4:F4"/>
    <mergeCell ref="A31:A33"/>
    <mergeCell ref="R32:R33"/>
    <mergeCell ref="J31:R31"/>
    <mergeCell ref="A29:R29"/>
    <mergeCell ref="E32:E33"/>
    <mergeCell ref="H31:H32"/>
    <mergeCell ref="D32:D33"/>
    <mergeCell ref="N32:O32"/>
    <mergeCell ref="C31:C33"/>
    <mergeCell ref="G31:G32"/>
    <mergeCell ref="I31:I32"/>
    <mergeCell ref="F32:F33"/>
    <mergeCell ref="B31:B33"/>
    <mergeCell ref="J32:K32"/>
    <mergeCell ref="L32:M32"/>
    <mergeCell ref="D31:F31"/>
  </mergeCells>
  <phoneticPr fontId="0" type="noConversion"/>
  <printOptions horizontalCentered="1"/>
  <pageMargins left="0.1" right="0.1" top="0.37" bottom="0.15" header="0.34" footer="0.1"/>
  <pageSetup paperSize="9" scale="89" orientation="landscape" blackAndWhite="1" r:id="rId1"/>
  <headerFooter alignWithMargins="0"/>
  <rowBreaks count="1" manualBreakCount="1">
    <brk id="28" max="16383" man="1"/>
  </rowBreaks>
  <drawing r:id="rId2"/>
</worksheet>
</file>

<file path=xl/worksheets/sheet80.xml><?xml version="1.0" encoding="utf-8"?>
<worksheet xmlns="http://schemas.openxmlformats.org/spreadsheetml/2006/main" xmlns:r="http://schemas.openxmlformats.org/officeDocument/2006/relationships">
  <dimension ref="A1:T58"/>
  <sheetViews>
    <sheetView workbookViewId="0">
      <selection activeCell="O25" sqref="O25"/>
    </sheetView>
  </sheetViews>
  <sheetFormatPr defaultRowHeight="12.75"/>
  <cols>
    <col min="1" max="1" width="3.140625" style="6" customWidth="1"/>
    <col min="2" max="2" width="21.85546875" style="6" bestFit="1" customWidth="1"/>
    <col min="3" max="3" width="8.5703125" style="6" customWidth="1"/>
    <col min="4" max="5" width="8.5703125" style="6" bestFit="1" customWidth="1"/>
    <col min="6" max="6" width="6" style="6" customWidth="1"/>
    <col min="7" max="7" width="7.28515625" style="6" customWidth="1"/>
    <col min="8" max="8" width="5.7109375" style="6" customWidth="1"/>
    <col min="9" max="9" width="7.7109375" style="6" customWidth="1"/>
    <col min="10" max="10" width="7.5703125" style="6" bestFit="1" customWidth="1"/>
    <col min="11" max="11" width="8.42578125" style="6" customWidth="1"/>
    <col min="12" max="12" width="6.140625" style="6" customWidth="1"/>
    <col min="13" max="13" width="6.85546875" style="6" customWidth="1"/>
    <col min="14" max="14" width="8.5703125" style="6" bestFit="1" customWidth="1"/>
    <col min="15" max="15" width="8.7109375" style="6" customWidth="1"/>
    <col min="16" max="16" width="6.5703125" style="6" customWidth="1"/>
    <col min="17" max="17" width="9.140625" style="6"/>
    <col min="18" max="18" width="6.5703125" style="6" bestFit="1" customWidth="1"/>
    <col min="19" max="16384" width="9.140625" style="6"/>
  </cols>
  <sheetData>
    <row r="1" spans="1:20">
      <c r="A1" s="1708" t="s">
        <v>825</v>
      </c>
      <c r="B1" s="1708"/>
      <c r="C1" s="1708"/>
      <c r="D1" s="1708"/>
      <c r="E1" s="1708"/>
      <c r="F1" s="1708"/>
      <c r="G1" s="1708"/>
      <c r="H1" s="1708"/>
      <c r="I1" s="1708"/>
      <c r="J1" s="1708"/>
      <c r="K1" s="1708"/>
      <c r="L1" s="1708"/>
      <c r="M1" s="1708"/>
      <c r="N1" s="1708"/>
      <c r="O1" s="1708"/>
      <c r="P1" s="1708"/>
      <c r="Q1" s="1708"/>
    </row>
    <row r="2" spans="1:20" ht="16.5" customHeight="1">
      <c r="A2" s="1720" t="str">
        <f>CONCATENATE("Source of Irrigation and Area Irrigated by different sources in the Blocks of ",District!$A$1," for the year ",District!F3)</f>
        <v>Source of Irrigation and Area Irrigated by different sources in the Blocks of South 24-Parganas for the year 2013-14</v>
      </c>
      <c r="B2" s="1720"/>
      <c r="C2" s="1720"/>
      <c r="D2" s="1720"/>
      <c r="E2" s="1720"/>
      <c r="F2" s="1720"/>
      <c r="G2" s="1720"/>
      <c r="H2" s="1720"/>
      <c r="I2" s="1720"/>
      <c r="J2" s="1720"/>
      <c r="K2" s="1720"/>
      <c r="L2" s="1720"/>
      <c r="M2" s="1720"/>
      <c r="N2" s="1720"/>
      <c r="O2" s="1720"/>
      <c r="P2" s="1720"/>
      <c r="Q2" s="1720"/>
    </row>
    <row r="3" spans="1:20" ht="14.25" customHeight="1">
      <c r="B3" s="93"/>
      <c r="C3" s="17"/>
      <c r="D3" s="17"/>
      <c r="E3" s="17"/>
      <c r="F3" s="17"/>
      <c r="G3" s="17"/>
      <c r="H3" s="17"/>
      <c r="I3" s="17"/>
      <c r="J3" s="17"/>
      <c r="K3" s="17"/>
      <c r="L3" s="17"/>
      <c r="M3" s="17"/>
      <c r="N3" s="17"/>
      <c r="O3" s="17"/>
      <c r="P3" s="93"/>
      <c r="Q3" s="95" t="s">
        <v>1362</v>
      </c>
    </row>
    <row r="4" spans="1:20" ht="13.5" customHeight="1">
      <c r="A4" s="1030" t="s">
        <v>237</v>
      </c>
      <c r="B4" s="2279" t="s">
        <v>235</v>
      </c>
      <c r="C4" s="1596" t="s">
        <v>260</v>
      </c>
      <c r="D4" s="2096" t="s">
        <v>1553</v>
      </c>
      <c r="E4" s="2096"/>
      <c r="F4" s="2012" t="s">
        <v>1558</v>
      </c>
      <c r="G4" s="2013"/>
      <c r="H4" s="2096" t="s">
        <v>575</v>
      </c>
      <c r="I4" s="2096"/>
      <c r="J4" s="2012" t="s">
        <v>1557</v>
      </c>
      <c r="K4" s="2013"/>
      <c r="L4" s="2096" t="s">
        <v>1559</v>
      </c>
      <c r="M4" s="2096"/>
      <c r="N4" s="2012" t="s">
        <v>1111</v>
      </c>
      <c r="O4" s="2013"/>
      <c r="P4" s="2096" t="s">
        <v>958</v>
      </c>
      <c r="Q4" s="2013"/>
    </row>
    <row r="5" spans="1:20" ht="13.5" customHeight="1">
      <c r="A5" s="1031" t="s">
        <v>979</v>
      </c>
      <c r="B5" s="2280"/>
      <c r="C5" s="1604" t="s">
        <v>261</v>
      </c>
      <c r="D5" s="1032" t="s">
        <v>979</v>
      </c>
      <c r="E5" s="1033" t="s">
        <v>261</v>
      </c>
      <c r="F5" s="1032" t="s">
        <v>979</v>
      </c>
      <c r="G5" s="1603" t="s">
        <v>261</v>
      </c>
      <c r="H5" s="1598" t="s">
        <v>979</v>
      </c>
      <c r="I5" s="1033" t="s">
        <v>261</v>
      </c>
      <c r="J5" s="1032" t="s">
        <v>979</v>
      </c>
      <c r="K5" s="923" t="s">
        <v>261</v>
      </c>
      <c r="L5" s="1032" t="s">
        <v>979</v>
      </c>
      <c r="M5" s="1033" t="s">
        <v>261</v>
      </c>
      <c r="N5" s="1603" t="s">
        <v>979</v>
      </c>
      <c r="O5" s="923" t="s">
        <v>261</v>
      </c>
      <c r="P5" s="1603" t="s">
        <v>979</v>
      </c>
      <c r="Q5" s="923" t="s">
        <v>261</v>
      </c>
    </row>
    <row r="6" spans="1:20" ht="16.5" customHeight="1">
      <c r="A6" s="123" t="s">
        <v>928</v>
      </c>
      <c r="B6" s="1586" t="s">
        <v>929</v>
      </c>
      <c r="C6" s="123" t="s">
        <v>930</v>
      </c>
      <c r="D6" s="123" t="s">
        <v>931</v>
      </c>
      <c r="E6" s="1599" t="s">
        <v>932</v>
      </c>
      <c r="F6" s="123" t="s">
        <v>933</v>
      </c>
      <c r="G6" s="123" t="s">
        <v>934</v>
      </c>
      <c r="H6" s="122" t="s">
        <v>959</v>
      </c>
      <c r="I6" s="1599" t="s">
        <v>960</v>
      </c>
      <c r="J6" s="123" t="s">
        <v>961</v>
      </c>
      <c r="K6" s="122" t="s">
        <v>962</v>
      </c>
      <c r="L6" s="123" t="s">
        <v>1037</v>
      </c>
      <c r="M6" s="1599" t="s">
        <v>1038</v>
      </c>
      <c r="N6" s="123" t="s">
        <v>1039</v>
      </c>
      <c r="O6" s="122" t="s">
        <v>1040</v>
      </c>
      <c r="P6" s="123" t="s">
        <v>1041</v>
      </c>
      <c r="Q6" s="122" t="s">
        <v>1042</v>
      </c>
    </row>
    <row r="7" spans="1:20" ht="13.5" customHeight="1">
      <c r="A7" s="1595">
        <v>1</v>
      </c>
      <c r="B7" s="1034" t="s">
        <v>1544</v>
      </c>
      <c r="C7" s="754" t="s">
        <v>857</v>
      </c>
      <c r="D7" s="650" t="s">
        <v>857</v>
      </c>
      <c r="E7" s="776" t="s">
        <v>857</v>
      </c>
      <c r="F7" s="650" t="s">
        <v>1229</v>
      </c>
      <c r="G7" s="754" t="s">
        <v>1229</v>
      </c>
      <c r="H7" s="537" t="s">
        <v>1229</v>
      </c>
      <c r="I7" s="1591" t="s">
        <v>1229</v>
      </c>
      <c r="J7" s="537" t="s">
        <v>857</v>
      </c>
      <c r="K7" s="1591" t="s">
        <v>857</v>
      </c>
      <c r="L7" s="537" t="s">
        <v>857</v>
      </c>
      <c r="M7" s="1591" t="s">
        <v>857</v>
      </c>
      <c r="N7" s="392" t="s">
        <v>857</v>
      </c>
      <c r="O7" s="911" t="s">
        <v>857</v>
      </c>
      <c r="P7" s="537" t="s">
        <v>1229</v>
      </c>
      <c r="Q7" s="906" t="s">
        <v>1229</v>
      </c>
      <c r="S7" s="60"/>
      <c r="T7" s="1125"/>
    </row>
    <row r="8" spans="1:20" ht="13.5" customHeight="1">
      <c r="A8" s="1595">
        <f t="shared" ref="A8:A35" si="0">A7+1</f>
        <v>2</v>
      </c>
      <c r="B8" s="339" t="s">
        <v>1214</v>
      </c>
      <c r="C8" s="754" t="s">
        <v>857</v>
      </c>
      <c r="D8" s="393" t="s">
        <v>857</v>
      </c>
      <c r="E8" s="776" t="s">
        <v>857</v>
      </c>
      <c r="F8" s="393">
        <v>2</v>
      </c>
      <c r="G8" s="371">
        <v>91.59</v>
      </c>
      <c r="H8" s="392" t="s">
        <v>1229</v>
      </c>
      <c r="I8" s="1591" t="s">
        <v>1229</v>
      </c>
      <c r="J8" s="392" t="s">
        <v>857</v>
      </c>
      <c r="K8" s="554" t="s">
        <v>857</v>
      </c>
      <c r="L8" s="392" t="s">
        <v>857</v>
      </c>
      <c r="M8" s="1591" t="s">
        <v>857</v>
      </c>
      <c r="N8" s="392" t="s">
        <v>857</v>
      </c>
      <c r="O8" s="911" t="s">
        <v>857</v>
      </c>
      <c r="P8" s="392">
        <f t="shared" ref="P8:P30" si="1">SUM(D8,F8,H8,J8,L8,N8)</f>
        <v>2</v>
      </c>
      <c r="Q8" s="371">
        <f t="shared" ref="Q8:Q30" si="2">SUM(C8,E8,G8,I8,K8,M8,O8)</f>
        <v>91.59</v>
      </c>
      <c r="S8" s="60"/>
      <c r="T8" s="1125"/>
    </row>
    <row r="9" spans="1:20" ht="13.5" customHeight="1">
      <c r="A9" s="1595">
        <f t="shared" si="0"/>
        <v>3</v>
      </c>
      <c r="B9" s="339" t="s">
        <v>1211</v>
      </c>
      <c r="C9" s="754" t="s">
        <v>857</v>
      </c>
      <c r="D9" s="393" t="s">
        <v>857</v>
      </c>
      <c r="E9" s="776" t="s">
        <v>857</v>
      </c>
      <c r="F9" s="393" t="s">
        <v>1229</v>
      </c>
      <c r="G9" s="754" t="s">
        <v>1229</v>
      </c>
      <c r="H9" s="392">
        <v>1</v>
      </c>
      <c r="I9" s="1591" t="s">
        <v>857</v>
      </c>
      <c r="J9" s="392" t="s">
        <v>857</v>
      </c>
      <c r="K9" s="554" t="s">
        <v>857</v>
      </c>
      <c r="L9" s="392" t="s">
        <v>857</v>
      </c>
      <c r="M9" s="1591" t="s">
        <v>857</v>
      </c>
      <c r="N9" s="392" t="s">
        <v>857</v>
      </c>
      <c r="O9" s="911" t="s">
        <v>857</v>
      </c>
      <c r="P9" s="392">
        <f t="shared" si="1"/>
        <v>1</v>
      </c>
      <c r="Q9" s="371" t="s">
        <v>857</v>
      </c>
      <c r="S9" s="60"/>
      <c r="T9" s="1125"/>
    </row>
    <row r="10" spans="1:20" ht="13.5" customHeight="1">
      <c r="A10" s="1595">
        <f t="shared" si="0"/>
        <v>4</v>
      </c>
      <c r="B10" s="339" t="s">
        <v>1212</v>
      </c>
      <c r="C10" s="754" t="s">
        <v>857</v>
      </c>
      <c r="D10" s="393" t="s">
        <v>857</v>
      </c>
      <c r="E10" s="776" t="s">
        <v>857</v>
      </c>
      <c r="F10" s="393" t="s">
        <v>1229</v>
      </c>
      <c r="G10" s="371" t="s">
        <v>1229</v>
      </c>
      <c r="H10" s="392" t="s">
        <v>1229</v>
      </c>
      <c r="I10" s="1591" t="s">
        <v>1229</v>
      </c>
      <c r="J10" s="392" t="s">
        <v>857</v>
      </c>
      <c r="K10" s="554" t="s">
        <v>857</v>
      </c>
      <c r="L10" s="392" t="s">
        <v>857</v>
      </c>
      <c r="M10" s="1591" t="s">
        <v>857</v>
      </c>
      <c r="N10" s="392" t="s">
        <v>857</v>
      </c>
      <c r="O10" s="911" t="s">
        <v>857</v>
      </c>
      <c r="P10" s="392" t="s">
        <v>1229</v>
      </c>
      <c r="Q10" s="371" t="s">
        <v>1229</v>
      </c>
      <c r="S10" s="60"/>
      <c r="T10" s="1125"/>
    </row>
    <row r="11" spans="1:20" ht="13.5" customHeight="1">
      <c r="A11" s="1595">
        <f t="shared" si="0"/>
        <v>5</v>
      </c>
      <c r="B11" s="339" t="s">
        <v>1213</v>
      </c>
      <c r="C11" s="754" t="s">
        <v>857</v>
      </c>
      <c r="D11" s="393" t="s">
        <v>857</v>
      </c>
      <c r="E11" s="776" t="s">
        <v>857</v>
      </c>
      <c r="F11" s="711">
        <v>2</v>
      </c>
      <c r="G11" s="754" t="s">
        <v>1229</v>
      </c>
      <c r="H11" s="392">
        <v>2</v>
      </c>
      <c r="I11" s="1591" t="s">
        <v>857</v>
      </c>
      <c r="J11" s="392" t="s">
        <v>857</v>
      </c>
      <c r="K11" s="554" t="s">
        <v>857</v>
      </c>
      <c r="L11" s="392" t="s">
        <v>857</v>
      </c>
      <c r="M11" s="1591" t="s">
        <v>857</v>
      </c>
      <c r="N11" s="392" t="s">
        <v>857</v>
      </c>
      <c r="O11" s="911" t="s">
        <v>857</v>
      </c>
      <c r="P11" s="392">
        <f t="shared" si="1"/>
        <v>4</v>
      </c>
      <c r="Q11" s="371" t="s">
        <v>1229</v>
      </c>
      <c r="S11" s="60"/>
      <c r="T11" s="1125"/>
    </row>
    <row r="12" spans="1:20" ht="13.5" customHeight="1">
      <c r="A12" s="1595">
        <f t="shared" si="0"/>
        <v>6</v>
      </c>
      <c r="B12" s="339" t="s">
        <v>1218</v>
      </c>
      <c r="C12" s="754" t="s">
        <v>857</v>
      </c>
      <c r="D12" s="393" t="s">
        <v>857</v>
      </c>
      <c r="E12" s="776" t="s">
        <v>857</v>
      </c>
      <c r="F12" s="393" t="s">
        <v>1229</v>
      </c>
      <c r="G12" s="754" t="s">
        <v>1229</v>
      </c>
      <c r="H12" s="392">
        <v>2</v>
      </c>
      <c r="I12" s="1591">
        <v>12.19</v>
      </c>
      <c r="J12" s="392" t="s">
        <v>857</v>
      </c>
      <c r="K12" s="554" t="s">
        <v>857</v>
      </c>
      <c r="L12" s="392" t="s">
        <v>857</v>
      </c>
      <c r="M12" s="1591" t="s">
        <v>857</v>
      </c>
      <c r="N12" s="392" t="s">
        <v>857</v>
      </c>
      <c r="O12" s="911" t="s">
        <v>857</v>
      </c>
      <c r="P12" s="392">
        <f t="shared" si="1"/>
        <v>2</v>
      </c>
      <c r="Q12" s="371">
        <f t="shared" si="2"/>
        <v>12.19</v>
      </c>
      <c r="S12" s="60"/>
      <c r="T12" s="1125"/>
    </row>
    <row r="13" spans="1:20" ht="13.5" customHeight="1">
      <c r="A13" s="1595">
        <f t="shared" si="0"/>
        <v>7</v>
      </c>
      <c r="B13" s="339" t="s">
        <v>759</v>
      </c>
      <c r="C13" s="754" t="s">
        <v>857</v>
      </c>
      <c r="D13" s="393" t="s">
        <v>857</v>
      </c>
      <c r="E13" s="776" t="s">
        <v>857</v>
      </c>
      <c r="F13" s="393">
        <v>2</v>
      </c>
      <c r="G13" s="371" t="s">
        <v>1229</v>
      </c>
      <c r="H13" s="392">
        <v>1</v>
      </c>
      <c r="I13" s="1591">
        <v>14.17</v>
      </c>
      <c r="J13" s="392" t="s">
        <v>857</v>
      </c>
      <c r="K13" s="554" t="s">
        <v>857</v>
      </c>
      <c r="L13" s="392" t="s">
        <v>857</v>
      </c>
      <c r="M13" s="1591" t="s">
        <v>857</v>
      </c>
      <c r="N13" s="392" t="s">
        <v>857</v>
      </c>
      <c r="O13" s="911" t="s">
        <v>857</v>
      </c>
      <c r="P13" s="392">
        <f t="shared" si="1"/>
        <v>3</v>
      </c>
      <c r="Q13" s="371">
        <f t="shared" si="2"/>
        <v>14.17</v>
      </c>
      <c r="S13" s="60"/>
      <c r="T13" s="1125"/>
    </row>
    <row r="14" spans="1:20" ht="13.5" customHeight="1">
      <c r="A14" s="1595">
        <f t="shared" si="0"/>
        <v>8</v>
      </c>
      <c r="B14" s="339" t="s">
        <v>760</v>
      </c>
      <c r="C14" s="754" t="s">
        <v>857</v>
      </c>
      <c r="D14" s="393" t="s">
        <v>857</v>
      </c>
      <c r="E14" s="776" t="s">
        <v>857</v>
      </c>
      <c r="F14" s="393">
        <v>2</v>
      </c>
      <c r="G14" s="371" t="s">
        <v>857</v>
      </c>
      <c r="H14" s="392">
        <v>1</v>
      </c>
      <c r="I14" s="1591">
        <v>16.59</v>
      </c>
      <c r="J14" s="392" t="s">
        <v>857</v>
      </c>
      <c r="K14" s="554" t="s">
        <v>857</v>
      </c>
      <c r="L14" s="392" t="s">
        <v>857</v>
      </c>
      <c r="M14" s="1591" t="s">
        <v>857</v>
      </c>
      <c r="N14" s="392" t="s">
        <v>857</v>
      </c>
      <c r="O14" s="911" t="s">
        <v>857</v>
      </c>
      <c r="P14" s="392">
        <f t="shared" si="1"/>
        <v>3</v>
      </c>
      <c r="Q14" s="371">
        <v>16.59</v>
      </c>
      <c r="S14" s="60"/>
      <c r="T14" s="1125"/>
    </row>
    <row r="15" spans="1:20" ht="13.5" customHeight="1">
      <c r="A15" s="1595">
        <f t="shared" si="0"/>
        <v>9</v>
      </c>
      <c r="B15" s="339" t="s">
        <v>1194</v>
      </c>
      <c r="C15" s="754" t="s">
        <v>857</v>
      </c>
      <c r="D15" s="393" t="s">
        <v>857</v>
      </c>
      <c r="E15" s="776" t="s">
        <v>857</v>
      </c>
      <c r="F15" s="393">
        <v>1</v>
      </c>
      <c r="G15" s="371" t="s">
        <v>1229</v>
      </c>
      <c r="H15" s="392" t="s">
        <v>1229</v>
      </c>
      <c r="I15" s="1591" t="s">
        <v>1229</v>
      </c>
      <c r="J15" s="392" t="s">
        <v>857</v>
      </c>
      <c r="K15" s="554" t="s">
        <v>857</v>
      </c>
      <c r="L15" s="392" t="s">
        <v>857</v>
      </c>
      <c r="M15" s="1591" t="s">
        <v>857</v>
      </c>
      <c r="N15" s="392" t="s">
        <v>857</v>
      </c>
      <c r="O15" s="911" t="s">
        <v>857</v>
      </c>
      <c r="P15" s="392">
        <f t="shared" si="1"/>
        <v>1</v>
      </c>
      <c r="Q15" s="371" t="s">
        <v>1229</v>
      </c>
      <c r="S15" s="60"/>
      <c r="T15" s="1125"/>
    </row>
    <row r="16" spans="1:20" ht="13.5" customHeight="1">
      <c r="A16" s="1595">
        <f t="shared" si="0"/>
        <v>10</v>
      </c>
      <c r="B16" s="339" t="s">
        <v>1221</v>
      </c>
      <c r="C16" s="754" t="s">
        <v>857</v>
      </c>
      <c r="D16" s="393" t="s">
        <v>857</v>
      </c>
      <c r="E16" s="776" t="s">
        <v>857</v>
      </c>
      <c r="F16" s="393">
        <v>1</v>
      </c>
      <c r="G16" s="371" t="s">
        <v>1229</v>
      </c>
      <c r="H16" s="392">
        <v>5</v>
      </c>
      <c r="I16" s="1591">
        <v>25.3</v>
      </c>
      <c r="J16" s="392" t="s">
        <v>857</v>
      </c>
      <c r="K16" s="554" t="s">
        <v>857</v>
      </c>
      <c r="L16" s="392" t="s">
        <v>857</v>
      </c>
      <c r="M16" s="1591" t="s">
        <v>857</v>
      </c>
      <c r="N16" s="392" t="s">
        <v>857</v>
      </c>
      <c r="O16" s="911" t="s">
        <v>857</v>
      </c>
      <c r="P16" s="392">
        <f t="shared" si="1"/>
        <v>6</v>
      </c>
      <c r="Q16" s="371">
        <f t="shared" si="2"/>
        <v>25.3</v>
      </c>
      <c r="S16" s="60"/>
      <c r="T16" s="1125"/>
    </row>
    <row r="17" spans="1:20" ht="13.5" customHeight="1">
      <c r="A17" s="1595">
        <f t="shared" si="0"/>
        <v>11</v>
      </c>
      <c r="B17" s="339" t="s">
        <v>761</v>
      </c>
      <c r="C17" s="754" t="s">
        <v>857</v>
      </c>
      <c r="D17" s="393" t="s">
        <v>857</v>
      </c>
      <c r="E17" s="776" t="s">
        <v>857</v>
      </c>
      <c r="F17" s="393">
        <v>18</v>
      </c>
      <c r="G17" s="371">
        <v>389.82</v>
      </c>
      <c r="H17" s="392">
        <v>2</v>
      </c>
      <c r="I17" s="1591">
        <v>8.17</v>
      </c>
      <c r="J17" s="392" t="s">
        <v>857</v>
      </c>
      <c r="K17" s="554" t="s">
        <v>857</v>
      </c>
      <c r="L17" s="392" t="s">
        <v>857</v>
      </c>
      <c r="M17" s="1591" t="s">
        <v>857</v>
      </c>
      <c r="N17" s="392" t="s">
        <v>857</v>
      </c>
      <c r="O17" s="911" t="s">
        <v>857</v>
      </c>
      <c r="P17" s="392">
        <f t="shared" si="1"/>
        <v>20</v>
      </c>
      <c r="Q17" s="371">
        <f t="shared" si="2"/>
        <v>397.99</v>
      </c>
      <c r="S17" s="60"/>
      <c r="T17" s="1125"/>
    </row>
    <row r="18" spans="1:20" ht="13.5" customHeight="1">
      <c r="A18" s="1595">
        <f t="shared" si="0"/>
        <v>12</v>
      </c>
      <c r="B18" s="339" t="s">
        <v>762</v>
      </c>
      <c r="C18" s="754" t="s">
        <v>857</v>
      </c>
      <c r="D18" s="393" t="s">
        <v>857</v>
      </c>
      <c r="E18" s="776" t="s">
        <v>857</v>
      </c>
      <c r="F18" s="393">
        <v>25</v>
      </c>
      <c r="G18" s="371">
        <v>1678.61</v>
      </c>
      <c r="H18" s="392">
        <v>2</v>
      </c>
      <c r="I18" s="1591">
        <v>2.14</v>
      </c>
      <c r="J18" s="392" t="s">
        <v>857</v>
      </c>
      <c r="K18" s="554" t="s">
        <v>857</v>
      </c>
      <c r="L18" s="392" t="s">
        <v>857</v>
      </c>
      <c r="M18" s="1591" t="s">
        <v>857</v>
      </c>
      <c r="N18" s="392" t="s">
        <v>857</v>
      </c>
      <c r="O18" s="911" t="s">
        <v>857</v>
      </c>
      <c r="P18" s="392">
        <f t="shared" si="1"/>
        <v>27</v>
      </c>
      <c r="Q18" s="371">
        <f t="shared" si="2"/>
        <v>1680.75</v>
      </c>
      <c r="S18" s="60"/>
      <c r="T18" s="1125"/>
    </row>
    <row r="19" spans="1:20" ht="13.5" customHeight="1">
      <c r="A19" s="1595">
        <f t="shared" si="0"/>
        <v>13</v>
      </c>
      <c r="B19" s="339" t="s">
        <v>1223</v>
      </c>
      <c r="C19" s="754" t="s">
        <v>857</v>
      </c>
      <c r="D19" s="393" t="s">
        <v>857</v>
      </c>
      <c r="E19" s="776" t="s">
        <v>857</v>
      </c>
      <c r="F19" s="393" t="s">
        <v>1229</v>
      </c>
      <c r="G19" s="754" t="s">
        <v>1229</v>
      </c>
      <c r="H19" s="392" t="s">
        <v>1229</v>
      </c>
      <c r="I19" s="1591" t="s">
        <v>1229</v>
      </c>
      <c r="J19" s="392" t="s">
        <v>857</v>
      </c>
      <c r="K19" s="554" t="s">
        <v>857</v>
      </c>
      <c r="L19" s="392" t="s">
        <v>857</v>
      </c>
      <c r="M19" s="1591" t="s">
        <v>857</v>
      </c>
      <c r="N19" s="392" t="s">
        <v>857</v>
      </c>
      <c r="O19" s="911" t="s">
        <v>857</v>
      </c>
      <c r="P19" s="392" t="s">
        <v>1229</v>
      </c>
      <c r="Q19" s="371" t="s">
        <v>1229</v>
      </c>
      <c r="S19" s="60"/>
      <c r="T19" s="1125"/>
    </row>
    <row r="20" spans="1:20" ht="13.5" customHeight="1">
      <c r="A20" s="1595">
        <f t="shared" si="0"/>
        <v>14</v>
      </c>
      <c r="B20" s="339" t="s">
        <v>1224</v>
      </c>
      <c r="C20" s="754" t="s">
        <v>857</v>
      </c>
      <c r="D20" s="393" t="s">
        <v>857</v>
      </c>
      <c r="E20" s="776" t="s">
        <v>857</v>
      </c>
      <c r="F20" s="393" t="s">
        <v>1229</v>
      </c>
      <c r="G20" s="754" t="s">
        <v>1229</v>
      </c>
      <c r="H20" s="392" t="s">
        <v>1229</v>
      </c>
      <c r="I20" s="1591" t="s">
        <v>1229</v>
      </c>
      <c r="J20" s="392" t="s">
        <v>857</v>
      </c>
      <c r="K20" s="554" t="s">
        <v>857</v>
      </c>
      <c r="L20" s="392" t="s">
        <v>857</v>
      </c>
      <c r="M20" s="1591" t="s">
        <v>857</v>
      </c>
      <c r="N20" s="392" t="s">
        <v>857</v>
      </c>
      <c r="O20" s="911" t="s">
        <v>857</v>
      </c>
      <c r="P20" s="392" t="s">
        <v>1229</v>
      </c>
      <c r="Q20" s="371" t="s">
        <v>1229</v>
      </c>
      <c r="S20" s="60"/>
      <c r="T20" s="1125"/>
    </row>
    <row r="21" spans="1:20" ht="13.5" customHeight="1">
      <c r="A21" s="1595">
        <f t="shared" si="0"/>
        <v>15</v>
      </c>
      <c r="B21" s="339" t="s">
        <v>1197</v>
      </c>
      <c r="C21" s="754" t="s">
        <v>857</v>
      </c>
      <c r="D21" s="393" t="s">
        <v>857</v>
      </c>
      <c r="E21" s="776" t="s">
        <v>857</v>
      </c>
      <c r="F21" s="393" t="s">
        <v>1229</v>
      </c>
      <c r="G21" s="754" t="s">
        <v>1229</v>
      </c>
      <c r="H21" s="392" t="s">
        <v>1229</v>
      </c>
      <c r="I21" s="1591" t="s">
        <v>1229</v>
      </c>
      <c r="J21" s="392" t="s">
        <v>857</v>
      </c>
      <c r="K21" s="554" t="s">
        <v>857</v>
      </c>
      <c r="L21" s="392" t="s">
        <v>857</v>
      </c>
      <c r="M21" s="1591" t="s">
        <v>857</v>
      </c>
      <c r="N21" s="392" t="s">
        <v>857</v>
      </c>
      <c r="O21" s="911" t="s">
        <v>857</v>
      </c>
      <c r="P21" s="392" t="s">
        <v>1229</v>
      </c>
      <c r="Q21" s="371" t="s">
        <v>1229</v>
      </c>
      <c r="S21" s="60"/>
      <c r="T21" s="1125"/>
    </row>
    <row r="22" spans="1:20" ht="13.5" customHeight="1">
      <c r="A22" s="1595">
        <f t="shared" si="0"/>
        <v>16</v>
      </c>
      <c r="B22" s="339" t="s">
        <v>1198</v>
      </c>
      <c r="C22" s="754" t="s">
        <v>857</v>
      </c>
      <c r="D22" s="393" t="s">
        <v>857</v>
      </c>
      <c r="E22" s="776" t="s">
        <v>857</v>
      </c>
      <c r="F22" s="393" t="s">
        <v>1229</v>
      </c>
      <c r="G22" s="754" t="s">
        <v>1229</v>
      </c>
      <c r="H22" s="392" t="s">
        <v>1229</v>
      </c>
      <c r="I22" s="1591" t="s">
        <v>1229</v>
      </c>
      <c r="J22" s="392" t="s">
        <v>857</v>
      </c>
      <c r="K22" s="554" t="s">
        <v>857</v>
      </c>
      <c r="L22" s="392" t="s">
        <v>857</v>
      </c>
      <c r="M22" s="1591" t="s">
        <v>857</v>
      </c>
      <c r="N22" s="392" t="s">
        <v>857</v>
      </c>
      <c r="O22" s="911" t="s">
        <v>857</v>
      </c>
      <c r="P22" s="392" t="s">
        <v>1229</v>
      </c>
      <c r="Q22" s="371" t="s">
        <v>1229</v>
      </c>
      <c r="S22" s="60"/>
      <c r="T22" s="1125"/>
    </row>
    <row r="23" spans="1:20" ht="13.5" customHeight="1">
      <c r="A23" s="1595">
        <f t="shared" si="0"/>
        <v>17</v>
      </c>
      <c r="B23" s="339" t="s">
        <v>1225</v>
      </c>
      <c r="C23" s="754" t="s">
        <v>857</v>
      </c>
      <c r="D23" s="393" t="s">
        <v>857</v>
      </c>
      <c r="E23" s="776" t="s">
        <v>857</v>
      </c>
      <c r="F23" s="392">
        <v>1</v>
      </c>
      <c r="G23" s="371">
        <v>53.22</v>
      </c>
      <c r="H23" s="392" t="s">
        <v>1229</v>
      </c>
      <c r="I23" s="1591" t="s">
        <v>1229</v>
      </c>
      <c r="J23" s="392" t="s">
        <v>857</v>
      </c>
      <c r="K23" s="554" t="s">
        <v>857</v>
      </c>
      <c r="L23" s="392" t="s">
        <v>857</v>
      </c>
      <c r="M23" s="1591" t="s">
        <v>857</v>
      </c>
      <c r="N23" s="392" t="s">
        <v>857</v>
      </c>
      <c r="O23" s="911" t="s">
        <v>857</v>
      </c>
      <c r="P23" s="392">
        <v>1</v>
      </c>
      <c r="Q23" s="371">
        <f t="shared" si="2"/>
        <v>53.22</v>
      </c>
      <c r="S23" s="60"/>
      <c r="T23" s="1125"/>
    </row>
    <row r="24" spans="1:20" ht="13.5" customHeight="1">
      <c r="A24" s="1595">
        <f t="shared" si="0"/>
        <v>18</v>
      </c>
      <c r="B24" s="339" t="s">
        <v>1226</v>
      </c>
      <c r="C24" s="754" t="s">
        <v>857</v>
      </c>
      <c r="D24" s="393" t="s">
        <v>857</v>
      </c>
      <c r="E24" s="776" t="s">
        <v>857</v>
      </c>
      <c r="F24" s="392" t="s">
        <v>1229</v>
      </c>
      <c r="G24" s="754" t="s">
        <v>1229</v>
      </c>
      <c r="H24" s="392" t="s">
        <v>1229</v>
      </c>
      <c r="I24" s="1591" t="s">
        <v>1229</v>
      </c>
      <c r="J24" s="392" t="s">
        <v>857</v>
      </c>
      <c r="K24" s="554" t="s">
        <v>857</v>
      </c>
      <c r="L24" s="392" t="s">
        <v>857</v>
      </c>
      <c r="M24" s="1591" t="s">
        <v>857</v>
      </c>
      <c r="N24" s="392" t="s">
        <v>857</v>
      </c>
      <c r="O24" s="911" t="s">
        <v>857</v>
      </c>
      <c r="P24" s="392" t="s">
        <v>1229</v>
      </c>
      <c r="Q24" s="371" t="s">
        <v>1229</v>
      </c>
    </row>
    <row r="25" spans="1:20" ht="13.5" customHeight="1">
      <c r="A25" s="1595">
        <f t="shared" si="0"/>
        <v>19</v>
      </c>
      <c r="B25" s="339" t="s">
        <v>837</v>
      </c>
      <c r="C25" s="754" t="s">
        <v>857</v>
      </c>
      <c r="D25" s="393" t="s">
        <v>857</v>
      </c>
      <c r="E25" s="776" t="s">
        <v>857</v>
      </c>
      <c r="F25" s="392" t="s">
        <v>1229</v>
      </c>
      <c r="G25" s="754" t="s">
        <v>1229</v>
      </c>
      <c r="H25" s="392" t="s">
        <v>1229</v>
      </c>
      <c r="I25" s="1591" t="s">
        <v>1229</v>
      </c>
      <c r="J25" s="392" t="s">
        <v>857</v>
      </c>
      <c r="K25" s="554" t="s">
        <v>857</v>
      </c>
      <c r="L25" s="392" t="s">
        <v>857</v>
      </c>
      <c r="M25" s="1591" t="s">
        <v>857</v>
      </c>
      <c r="N25" s="392" t="s">
        <v>857</v>
      </c>
      <c r="O25" s="911" t="s">
        <v>857</v>
      </c>
      <c r="P25" s="392" t="s">
        <v>1229</v>
      </c>
      <c r="Q25" s="371" t="s">
        <v>1229</v>
      </c>
    </row>
    <row r="26" spans="1:20" ht="13.5" customHeight="1">
      <c r="A26" s="1595">
        <f t="shared" si="0"/>
        <v>20</v>
      </c>
      <c r="B26" s="339" t="s">
        <v>1203</v>
      </c>
      <c r="C26" s="754" t="s">
        <v>857</v>
      </c>
      <c r="D26" s="393" t="s">
        <v>857</v>
      </c>
      <c r="E26" s="776" t="s">
        <v>857</v>
      </c>
      <c r="F26" s="392" t="s">
        <v>1229</v>
      </c>
      <c r="G26" s="754" t="s">
        <v>1229</v>
      </c>
      <c r="H26" s="392">
        <v>2</v>
      </c>
      <c r="I26" s="1591" t="s">
        <v>857</v>
      </c>
      <c r="J26" s="392" t="s">
        <v>857</v>
      </c>
      <c r="K26" s="554" t="s">
        <v>857</v>
      </c>
      <c r="L26" s="392" t="s">
        <v>857</v>
      </c>
      <c r="M26" s="1591" t="s">
        <v>857</v>
      </c>
      <c r="N26" s="392" t="s">
        <v>857</v>
      </c>
      <c r="O26" s="911" t="s">
        <v>857</v>
      </c>
      <c r="P26" s="392">
        <f t="shared" si="1"/>
        <v>2</v>
      </c>
      <c r="Q26" s="371" t="s">
        <v>857</v>
      </c>
    </row>
    <row r="27" spans="1:20" ht="13.5" customHeight="1">
      <c r="A27" s="1595">
        <f t="shared" si="0"/>
        <v>21</v>
      </c>
      <c r="B27" s="339" t="s">
        <v>1204</v>
      </c>
      <c r="C27" s="754" t="s">
        <v>857</v>
      </c>
      <c r="D27" s="393" t="s">
        <v>857</v>
      </c>
      <c r="E27" s="776" t="s">
        <v>857</v>
      </c>
      <c r="F27" s="392">
        <v>2</v>
      </c>
      <c r="G27" s="371">
        <v>29.2</v>
      </c>
      <c r="H27" s="392">
        <v>3</v>
      </c>
      <c r="I27" s="1591">
        <v>35.18</v>
      </c>
      <c r="J27" s="392" t="s">
        <v>857</v>
      </c>
      <c r="K27" s="554" t="s">
        <v>857</v>
      </c>
      <c r="L27" s="392" t="s">
        <v>857</v>
      </c>
      <c r="M27" s="1591" t="s">
        <v>857</v>
      </c>
      <c r="N27" s="392" t="s">
        <v>857</v>
      </c>
      <c r="O27" s="911" t="s">
        <v>857</v>
      </c>
      <c r="P27" s="392">
        <f t="shared" si="1"/>
        <v>5</v>
      </c>
      <c r="Q27" s="371">
        <v>64.38</v>
      </c>
    </row>
    <row r="28" spans="1:20" ht="13.5" customHeight="1">
      <c r="A28" s="1595">
        <f t="shared" si="0"/>
        <v>22</v>
      </c>
      <c r="B28" s="339" t="s">
        <v>1744</v>
      </c>
      <c r="C28" s="754" t="s">
        <v>857</v>
      </c>
      <c r="D28" s="393" t="s">
        <v>857</v>
      </c>
      <c r="E28" s="776" t="s">
        <v>857</v>
      </c>
      <c r="F28" s="392">
        <v>1</v>
      </c>
      <c r="G28" s="392" t="s">
        <v>1229</v>
      </c>
      <c r="H28" s="392" t="s">
        <v>1229</v>
      </c>
      <c r="I28" s="1591" t="s">
        <v>1229</v>
      </c>
      <c r="J28" s="392" t="s">
        <v>857</v>
      </c>
      <c r="K28" s="554" t="s">
        <v>857</v>
      </c>
      <c r="L28" s="392" t="s">
        <v>857</v>
      </c>
      <c r="M28" s="1591" t="s">
        <v>857</v>
      </c>
      <c r="N28" s="392" t="s">
        <v>857</v>
      </c>
      <c r="O28" s="911" t="s">
        <v>857</v>
      </c>
      <c r="P28" s="392">
        <f t="shared" si="1"/>
        <v>1</v>
      </c>
      <c r="Q28" s="371" t="s">
        <v>1229</v>
      </c>
    </row>
    <row r="29" spans="1:20" ht="13.5" customHeight="1">
      <c r="A29" s="1595">
        <f t="shared" si="0"/>
        <v>23</v>
      </c>
      <c r="B29" s="339" t="s">
        <v>1745</v>
      </c>
      <c r="C29" s="754" t="s">
        <v>857</v>
      </c>
      <c r="D29" s="393" t="s">
        <v>857</v>
      </c>
      <c r="E29" s="776" t="s">
        <v>857</v>
      </c>
      <c r="F29" s="392">
        <v>1</v>
      </c>
      <c r="G29" s="392" t="s">
        <v>1229</v>
      </c>
      <c r="H29" s="392" t="s">
        <v>1229</v>
      </c>
      <c r="I29" s="1591" t="s">
        <v>1229</v>
      </c>
      <c r="J29" s="392" t="s">
        <v>857</v>
      </c>
      <c r="K29" s="554" t="s">
        <v>857</v>
      </c>
      <c r="L29" s="392" t="s">
        <v>857</v>
      </c>
      <c r="M29" s="1591" t="s">
        <v>857</v>
      </c>
      <c r="N29" s="392" t="s">
        <v>857</v>
      </c>
      <c r="O29" s="911" t="s">
        <v>857</v>
      </c>
      <c r="P29" s="392">
        <f t="shared" si="1"/>
        <v>1</v>
      </c>
      <c r="Q29" s="371" t="s">
        <v>1229</v>
      </c>
    </row>
    <row r="30" spans="1:20" ht="13.5" customHeight="1">
      <c r="A30" s="1595">
        <f t="shared" si="0"/>
        <v>24</v>
      </c>
      <c r="B30" s="339" t="s">
        <v>1227</v>
      </c>
      <c r="C30" s="754" t="s">
        <v>857</v>
      </c>
      <c r="D30" s="393" t="s">
        <v>857</v>
      </c>
      <c r="E30" s="776" t="s">
        <v>857</v>
      </c>
      <c r="F30" s="392" t="s">
        <v>1229</v>
      </c>
      <c r="G30" s="392" t="s">
        <v>1229</v>
      </c>
      <c r="H30" s="392">
        <v>2</v>
      </c>
      <c r="I30" s="1591">
        <v>32.99</v>
      </c>
      <c r="J30" s="392" t="s">
        <v>857</v>
      </c>
      <c r="K30" s="554" t="s">
        <v>857</v>
      </c>
      <c r="L30" s="392" t="s">
        <v>857</v>
      </c>
      <c r="M30" s="1591" t="s">
        <v>857</v>
      </c>
      <c r="N30" s="392" t="s">
        <v>857</v>
      </c>
      <c r="O30" s="911" t="s">
        <v>857</v>
      </c>
      <c r="P30" s="392">
        <f t="shared" si="1"/>
        <v>2</v>
      </c>
      <c r="Q30" s="371">
        <f t="shared" si="2"/>
        <v>32.99</v>
      </c>
    </row>
    <row r="31" spans="1:20" ht="13.5" customHeight="1">
      <c r="A31" s="1595">
        <f t="shared" si="0"/>
        <v>25</v>
      </c>
      <c r="B31" s="339" t="s">
        <v>1228</v>
      </c>
      <c r="C31" s="754" t="s">
        <v>857</v>
      </c>
      <c r="D31" s="393" t="s">
        <v>857</v>
      </c>
      <c r="E31" s="776" t="s">
        <v>857</v>
      </c>
      <c r="F31" s="392" t="s">
        <v>1229</v>
      </c>
      <c r="G31" s="392" t="s">
        <v>1229</v>
      </c>
      <c r="H31" s="392" t="s">
        <v>1229</v>
      </c>
      <c r="I31" s="1591" t="s">
        <v>1229</v>
      </c>
      <c r="J31" s="392" t="s">
        <v>857</v>
      </c>
      <c r="K31" s="554" t="s">
        <v>857</v>
      </c>
      <c r="L31" s="392" t="s">
        <v>857</v>
      </c>
      <c r="M31" s="1591" t="s">
        <v>857</v>
      </c>
      <c r="N31" s="392" t="s">
        <v>857</v>
      </c>
      <c r="O31" s="911" t="s">
        <v>857</v>
      </c>
      <c r="P31" s="392" t="s">
        <v>1229</v>
      </c>
      <c r="Q31" s="371" t="s">
        <v>1229</v>
      </c>
    </row>
    <row r="32" spans="1:20" ht="13.5" customHeight="1">
      <c r="A32" s="1595">
        <f t="shared" si="0"/>
        <v>26</v>
      </c>
      <c r="B32" s="339" t="s">
        <v>1205</v>
      </c>
      <c r="C32" s="754" t="s">
        <v>857</v>
      </c>
      <c r="D32" s="393" t="s">
        <v>857</v>
      </c>
      <c r="E32" s="776" t="s">
        <v>857</v>
      </c>
      <c r="F32" s="392" t="s">
        <v>1229</v>
      </c>
      <c r="G32" s="392" t="s">
        <v>1229</v>
      </c>
      <c r="H32" s="392" t="s">
        <v>1229</v>
      </c>
      <c r="I32" s="1591" t="s">
        <v>1229</v>
      </c>
      <c r="J32" s="392" t="s">
        <v>857</v>
      </c>
      <c r="K32" s="554" t="s">
        <v>857</v>
      </c>
      <c r="L32" s="392" t="s">
        <v>857</v>
      </c>
      <c r="M32" s="1591" t="s">
        <v>857</v>
      </c>
      <c r="N32" s="392" t="s">
        <v>857</v>
      </c>
      <c r="O32" s="911" t="s">
        <v>857</v>
      </c>
      <c r="P32" s="392" t="s">
        <v>1229</v>
      </c>
      <c r="Q32" s="371" t="s">
        <v>1229</v>
      </c>
    </row>
    <row r="33" spans="1:19" ht="13.5" customHeight="1">
      <c r="A33" s="1595">
        <f t="shared" si="0"/>
        <v>27</v>
      </c>
      <c r="B33" s="339" t="s">
        <v>1206</v>
      </c>
      <c r="C33" s="754" t="s">
        <v>857</v>
      </c>
      <c r="D33" s="393" t="s">
        <v>857</v>
      </c>
      <c r="E33" s="776" t="s">
        <v>857</v>
      </c>
      <c r="F33" s="392" t="s">
        <v>1229</v>
      </c>
      <c r="G33" s="392" t="s">
        <v>1229</v>
      </c>
      <c r="H33" s="392" t="s">
        <v>1229</v>
      </c>
      <c r="I33" s="1591" t="s">
        <v>1229</v>
      </c>
      <c r="J33" s="392" t="s">
        <v>857</v>
      </c>
      <c r="K33" s="554" t="s">
        <v>857</v>
      </c>
      <c r="L33" s="392" t="s">
        <v>857</v>
      </c>
      <c r="M33" s="1591" t="s">
        <v>857</v>
      </c>
      <c r="N33" s="392" t="s">
        <v>857</v>
      </c>
      <c r="O33" s="911" t="s">
        <v>857</v>
      </c>
      <c r="P33" s="392" t="s">
        <v>1229</v>
      </c>
      <c r="Q33" s="371" t="s">
        <v>1229</v>
      </c>
    </row>
    <row r="34" spans="1:19" ht="13.5" customHeight="1">
      <c r="A34" s="1595">
        <f t="shared" si="0"/>
        <v>28</v>
      </c>
      <c r="B34" s="339" t="s">
        <v>1207</v>
      </c>
      <c r="C34" s="754" t="s">
        <v>857</v>
      </c>
      <c r="D34" s="393" t="s">
        <v>857</v>
      </c>
      <c r="E34" s="776" t="s">
        <v>857</v>
      </c>
      <c r="F34" s="392" t="s">
        <v>1229</v>
      </c>
      <c r="G34" s="392" t="s">
        <v>1229</v>
      </c>
      <c r="H34" s="392" t="s">
        <v>1229</v>
      </c>
      <c r="I34" s="1591" t="s">
        <v>1229</v>
      </c>
      <c r="J34" s="392" t="s">
        <v>857</v>
      </c>
      <c r="K34" s="554" t="s">
        <v>857</v>
      </c>
      <c r="L34" s="392" t="s">
        <v>857</v>
      </c>
      <c r="M34" s="1591" t="s">
        <v>857</v>
      </c>
      <c r="N34" s="392" t="s">
        <v>857</v>
      </c>
      <c r="O34" s="911" t="s">
        <v>857</v>
      </c>
      <c r="P34" s="392" t="s">
        <v>1229</v>
      </c>
      <c r="Q34" s="371" t="s">
        <v>1229</v>
      </c>
    </row>
    <row r="35" spans="1:19" ht="13.5" customHeight="1">
      <c r="A35" s="1594">
        <f t="shared" si="0"/>
        <v>29</v>
      </c>
      <c r="B35" s="1601" t="s">
        <v>1208</v>
      </c>
      <c r="C35" s="755" t="s">
        <v>857</v>
      </c>
      <c r="D35" s="441" t="s">
        <v>857</v>
      </c>
      <c r="E35" s="1609" t="s">
        <v>857</v>
      </c>
      <c r="F35" s="443" t="s">
        <v>1229</v>
      </c>
      <c r="G35" s="443" t="s">
        <v>1229</v>
      </c>
      <c r="H35" s="443" t="s">
        <v>1229</v>
      </c>
      <c r="I35" s="1589" t="s">
        <v>1229</v>
      </c>
      <c r="J35" s="443" t="s">
        <v>857</v>
      </c>
      <c r="K35" s="1100" t="s">
        <v>857</v>
      </c>
      <c r="L35" s="443" t="s">
        <v>857</v>
      </c>
      <c r="M35" s="1590" t="s">
        <v>857</v>
      </c>
      <c r="N35" s="443" t="s">
        <v>857</v>
      </c>
      <c r="O35" s="926" t="s">
        <v>857</v>
      </c>
      <c r="P35" s="443" t="s">
        <v>1229</v>
      </c>
      <c r="Q35" s="381" t="s">
        <v>1229</v>
      </c>
    </row>
    <row r="36" spans="1:19" ht="13.5" customHeight="1">
      <c r="A36" s="2281" t="s">
        <v>798</v>
      </c>
      <c r="B36" s="2281"/>
      <c r="C36" s="2281"/>
      <c r="D36" s="2281"/>
      <c r="E36" s="2281"/>
      <c r="F36" s="2281"/>
      <c r="G36" s="2281"/>
      <c r="H36" s="2281"/>
      <c r="I36" s="1142"/>
      <c r="J36" s="1141"/>
      <c r="K36" s="1134" t="s">
        <v>1446</v>
      </c>
      <c r="L36" s="1009" t="s">
        <v>800</v>
      </c>
      <c r="M36" s="1565"/>
      <c r="N36" s="1143"/>
      <c r="O36" s="1134"/>
      <c r="P36" s="1141"/>
      <c r="Q36" s="1142"/>
    </row>
    <row r="37" spans="1:19" ht="13.5" customHeight="1">
      <c r="A37" s="1009" t="s">
        <v>828</v>
      </c>
      <c r="B37" s="1009"/>
      <c r="C37" s="1009"/>
      <c r="D37" s="1009"/>
      <c r="E37" s="1134" t="s">
        <v>1557</v>
      </c>
      <c r="F37" s="1140" t="s">
        <v>826</v>
      </c>
      <c r="G37" s="1009"/>
      <c r="H37" s="1125"/>
      <c r="I37" s="1009"/>
      <c r="J37" s="1141"/>
      <c r="K37" s="1009"/>
      <c r="L37" s="1009" t="s">
        <v>1025</v>
      </c>
      <c r="M37" s="1009"/>
      <c r="N37" s="1144"/>
      <c r="O37" s="1009"/>
      <c r="P37" s="1009"/>
      <c r="Q37" s="1142"/>
    </row>
    <row r="38" spans="1:19" ht="12" customHeight="1">
      <c r="A38" s="1009" t="s">
        <v>829</v>
      </c>
      <c r="B38" s="1009"/>
      <c r="C38" s="1009"/>
      <c r="D38" s="1009"/>
      <c r="E38" s="1134" t="s">
        <v>1558</v>
      </c>
      <c r="F38" s="1140" t="s">
        <v>827</v>
      </c>
      <c r="G38" s="1009"/>
      <c r="I38" s="1009"/>
      <c r="J38" s="1009"/>
      <c r="K38" s="1009"/>
      <c r="L38" s="114" t="s">
        <v>1024</v>
      </c>
      <c r="M38" s="1009"/>
      <c r="N38" s="1144"/>
      <c r="O38" s="1009"/>
      <c r="P38" s="1009"/>
      <c r="Q38" s="1009"/>
      <c r="R38" s="98"/>
      <c r="S38" s="98"/>
    </row>
    <row r="39" spans="1:19" ht="12" customHeight="1">
      <c r="A39" s="114" t="s">
        <v>830</v>
      </c>
      <c r="B39" s="1009"/>
      <c r="C39" s="114"/>
      <c r="D39" s="1009"/>
      <c r="E39" s="1008" t="s">
        <v>1559</v>
      </c>
      <c r="F39" s="1145" t="s">
        <v>50</v>
      </c>
      <c r="G39" s="1009"/>
      <c r="I39" s="1146"/>
      <c r="J39" s="1146"/>
      <c r="K39" s="1146"/>
      <c r="L39" s="1009"/>
      <c r="M39" s="1009"/>
      <c r="N39" s="1143"/>
      <c r="O39" s="114"/>
      <c r="P39" s="114"/>
      <c r="Q39" s="1009"/>
      <c r="R39" s="98"/>
      <c r="S39" s="98"/>
    </row>
    <row r="40" spans="1:19" ht="12" customHeight="1">
      <c r="A40" s="1154"/>
      <c r="I40" s="1125"/>
      <c r="J40" s="1125"/>
      <c r="K40" s="1125"/>
      <c r="L40" s="1125"/>
      <c r="M40" s="1125"/>
      <c r="N40" s="1125"/>
      <c r="O40" s="1125"/>
      <c r="Q40" s="645"/>
      <c r="R40" s="98"/>
      <c r="S40" s="98"/>
    </row>
    <row r="41" spans="1:19" ht="12" customHeight="1">
      <c r="I41" s="157"/>
      <c r="J41" s="157"/>
      <c r="K41" s="10"/>
      <c r="N41" s="10"/>
      <c r="O41" s="10"/>
      <c r="P41" s="10"/>
      <c r="Q41" s="10"/>
    </row>
    <row r="47" spans="1:19">
      <c r="B47" s="56"/>
      <c r="C47" s="56"/>
      <c r="D47" s="56"/>
    </row>
    <row r="48" spans="1:19">
      <c r="B48" s="56"/>
      <c r="C48" s="56"/>
      <c r="D48" s="56"/>
    </row>
    <row r="49" spans="2:4">
      <c r="B49" s="56"/>
    </row>
    <row r="50" spans="2:4">
      <c r="B50" s="56"/>
      <c r="C50" s="56"/>
      <c r="D50" s="56"/>
    </row>
    <row r="51" spans="2:4">
      <c r="B51" s="56"/>
      <c r="C51" s="56"/>
      <c r="D51" s="56"/>
    </row>
    <row r="52" spans="2:4">
      <c r="B52" s="56"/>
      <c r="C52" s="56"/>
      <c r="D52" s="56"/>
    </row>
    <row r="53" spans="2:4">
      <c r="B53" s="56"/>
      <c r="C53" s="56"/>
      <c r="D53" s="56"/>
    </row>
    <row r="54" spans="2:4">
      <c r="B54" s="56"/>
      <c r="C54" s="56"/>
      <c r="D54" s="56"/>
    </row>
    <row r="55" spans="2:4">
      <c r="B55" s="56"/>
      <c r="C55" s="56"/>
      <c r="D55" s="56"/>
    </row>
    <row r="56" spans="2:4">
      <c r="B56" s="56"/>
      <c r="C56" s="56"/>
      <c r="D56" s="56"/>
    </row>
    <row r="57" spans="2:4">
      <c r="B57" s="56"/>
      <c r="C57" s="56"/>
      <c r="D57" s="56"/>
    </row>
    <row r="58" spans="2:4">
      <c r="B58" s="56"/>
      <c r="C58" s="56"/>
      <c r="D58" s="56"/>
    </row>
  </sheetData>
  <mergeCells count="11">
    <mergeCell ref="B4:B5"/>
    <mergeCell ref="A36:H36"/>
    <mergeCell ref="A1:Q1"/>
    <mergeCell ref="A2:Q2"/>
    <mergeCell ref="J4:K4"/>
    <mergeCell ref="L4:M4"/>
    <mergeCell ref="N4:O4"/>
    <mergeCell ref="P4:Q4"/>
    <mergeCell ref="D4:E4"/>
    <mergeCell ref="F4:G4"/>
    <mergeCell ref="H4:I4"/>
  </mergeCells>
  <phoneticPr fontId="0" type="noConversion"/>
  <conditionalFormatting sqref="A42:H42 A47:H65535 A1:H39 I1:IV1048576">
    <cfRule type="cellIs" dxfId="1" priority="1" stopIfTrue="1" operator="equal">
      <formula>".."</formula>
    </cfRule>
  </conditionalFormatting>
  <printOptions horizontalCentered="1"/>
  <pageMargins left="0.1" right="0.1" top="0.38" bottom="0.1" header="0.39" footer="0.1"/>
  <pageSetup paperSize="9" orientation="landscape" blackAndWhite="1" r:id="rId1"/>
  <headerFooter alignWithMargins="0"/>
</worksheet>
</file>

<file path=xl/worksheets/sheet81.xml><?xml version="1.0" encoding="utf-8"?>
<worksheet xmlns="http://schemas.openxmlformats.org/spreadsheetml/2006/main" xmlns:r="http://schemas.openxmlformats.org/officeDocument/2006/relationships">
  <dimension ref="A1:I54"/>
  <sheetViews>
    <sheetView workbookViewId="0">
      <selection activeCell="O25" sqref="O25"/>
    </sheetView>
  </sheetViews>
  <sheetFormatPr defaultRowHeight="12.75"/>
  <cols>
    <col min="1" max="1" width="4.7109375" style="6" customWidth="1"/>
    <col min="2" max="2" width="25" style="6" customWidth="1"/>
    <col min="3" max="3" width="12.42578125" style="6" customWidth="1"/>
    <col min="4" max="4" width="11.7109375" style="60" customWidth="1"/>
    <col min="5" max="5" width="12.7109375" style="6" customWidth="1"/>
    <col min="6" max="6" width="14" style="6" customWidth="1"/>
    <col min="7" max="7" width="12.28515625" style="6" customWidth="1"/>
    <col min="8" max="8" width="14.140625" style="6" customWidth="1"/>
    <col min="9" max="9" width="18" style="6" customWidth="1"/>
    <col min="10" max="16384" width="9.140625" style="6"/>
  </cols>
  <sheetData>
    <row r="1" spans="1:9">
      <c r="A1" s="1708" t="s">
        <v>831</v>
      </c>
      <c r="B1" s="1708"/>
      <c r="C1" s="1708"/>
      <c r="D1" s="1708"/>
      <c r="E1" s="1708"/>
      <c r="F1" s="1708"/>
      <c r="G1" s="1708"/>
      <c r="H1" s="1708"/>
      <c r="I1" s="1708"/>
    </row>
    <row r="2" spans="1:9" ht="18.75" customHeight="1">
      <c r="A2" s="2056" t="str">
        <f>CONCATENATE("Particulars of  Fisheries in the Blocks of ",District!$A$1," for the year ",District!F3)</f>
        <v>Particulars of  Fisheries in the Blocks of South 24-Parganas for the year 2013-14</v>
      </c>
      <c r="B2" s="2056"/>
      <c r="C2" s="2056"/>
      <c r="D2" s="2056"/>
      <c r="E2" s="2056"/>
      <c r="F2" s="2056"/>
      <c r="G2" s="2056"/>
      <c r="H2" s="2056"/>
      <c r="I2" s="2056"/>
    </row>
    <row r="3" spans="1:9" ht="66.75" customHeight="1">
      <c r="A3" s="983" t="s">
        <v>278</v>
      </c>
      <c r="B3" s="347" t="s">
        <v>235</v>
      </c>
      <c r="C3" s="982" t="s">
        <v>263</v>
      </c>
      <c r="D3" s="990" t="s">
        <v>576</v>
      </c>
      <c r="E3" s="982" t="s">
        <v>577</v>
      </c>
      <c r="F3" s="253" t="s">
        <v>1230</v>
      </c>
      <c r="G3" s="982" t="s">
        <v>1231</v>
      </c>
      <c r="H3" s="253" t="s">
        <v>277</v>
      </c>
      <c r="I3" s="981" t="s">
        <v>578</v>
      </c>
    </row>
    <row r="4" spans="1:9" ht="12" customHeight="1">
      <c r="A4" s="130" t="s">
        <v>928</v>
      </c>
      <c r="B4" s="130" t="s">
        <v>929</v>
      </c>
      <c r="C4" s="131" t="s">
        <v>930</v>
      </c>
      <c r="D4" s="215" t="s">
        <v>931</v>
      </c>
      <c r="E4" s="131" t="s">
        <v>932</v>
      </c>
      <c r="F4" s="130" t="s">
        <v>933</v>
      </c>
      <c r="G4" s="131" t="s">
        <v>934</v>
      </c>
      <c r="H4" s="130" t="s">
        <v>959</v>
      </c>
      <c r="I4" s="132" t="s">
        <v>960</v>
      </c>
    </row>
    <row r="5" spans="1:9" ht="12.75" customHeight="1">
      <c r="A5" s="1127">
        <v>1</v>
      </c>
      <c r="B5" s="765" t="s">
        <v>1544</v>
      </c>
      <c r="C5" s="73">
        <v>14</v>
      </c>
      <c r="D5" s="1096">
        <v>955</v>
      </c>
      <c r="E5" s="1096">
        <v>955</v>
      </c>
      <c r="F5" s="1096">
        <v>295</v>
      </c>
      <c r="G5" s="1332">
        <v>185</v>
      </c>
      <c r="H5" s="1096">
        <v>1550</v>
      </c>
      <c r="I5" s="1288">
        <v>16080</v>
      </c>
    </row>
    <row r="6" spans="1:9" ht="12.75" customHeight="1">
      <c r="A6" s="1127">
        <f t="shared" ref="A6:A33" si="0">A5+1</f>
        <v>2</v>
      </c>
      <c r="B6" s="765" t="s">
        <v>1214</v>
      </c>
      <c r="C6" s="73">
        <v>15</v>
      </c>
      <c r="D6" s="1096">
        <v>2175</v>
      </c>
      <c r="E6" s="1096">
        <v>2175</v>
      </c>
      <c r="F6" s="1096">
        <v>406</v>
      </c>
      <c r="G6" s="1332">
        <v>376</v>
      </c>
      <c r="H6" s="83">
        <v>5065</v>
      </c>
      <c r="I6" s="1288">
        <v>23120</v>
      </c>
    </row>
    <row r="7" spans="1:9" ht="12.75" customHeight="1">
      <c r="A7" s="1127">
        <f t="shared" si="0"/>
        <v>3</v>
      </c>
      <c r="B7" s="765" t="s">
        <v>1211</v>
      </c>
      <c r="C7" s="73">
        <v>14</v>
      </c>
      <c r="D7" s="1096">
        <v>928</v>
      </c>
      <c r="E7" s="1096">
        <v>928</v>
      </c>
      <c r="F7" s="1096">
        <v>1498</v>
      </c>
      <c r="G7" s="1332">
        <v>1225</v>
      </c>
      <c r="H7" s="83">
        <v>9985</v>
      </c>
      <c r="I7" s="1288">
        <v>25940</v>
      </c>
    </row>
    <row r="8" spans="1:9" ht="12.75" customHeight="1">
      <c r="A8" s="1127">
        <f t="shared" si="0"/>
        <v>4</v>
      </c>
      <c r="B8" s="765" t="s">
        <v>1212</v>
      </c>
      <c r="C8" s="1097">
        <v>15</v>
      </c>
      <c r="D8" s="1096">
        <v>1053</v>
      </c>
      <c r="E8" s="1096">
        <v>1053</v>
      </c>
      <c r="F8" s="1096">
        <v>298</v>
      </c>
      <c r="G8" s="1332">
        <v>135</v>
      </c>
      <c r="H8" s="83">
        <v>2450</v>
      </c>
      <c r="I8" s="1288">
        <v>30070</v>
      </c>
    </row>
    <row r="9" spans="1:9" ht="12.75" customHeight="1">
      <c r="A9" s="1127">
        <f t="shared" si="0"/>
        <v>5</v>
      </c>
      <c r="B9" s="765" t="s">
        <v>1213</v>
      </c>
      <c r="C9" s="1097">
        <v>17</v>
      </c>
      <c r="D9" s="1096">
        <v>1969</v>
      </c>
      <c r="E9" s="1096">
        <v>1969</v>
      </c>
      <c r="F9" s="1096">
        <v>1504</v>
      </c>
      <c r="G9" s="1333">
        <v>1161</v>
      </c>
      <c r="H9" s="83">
        <v>11954</v>
      </c>
      <c r="I9" s="1288">
        <v>57832</v>
      </c>
    </row>
    <row r="10" spans="1:9" ht="12.75" customHeight="1">
      <c r="A10" s="1127">
        <f t="shared" si="0"/>
        <v>6</v>
      </c>
      <c r="B10" s="765" t="s">
        <v>1218</v>
      </c>
      <c r="C10" s="1097">
        <v>16</v>
      </c>
      <c r="D10" s="1096">
        <v>3255</v>
      </c>
      <c r="E10" s="1096">
        <v>3255</v>
      </c>
      <c r="F10" s="1096">
        <v>1894</v>
      </c>
      <c r="G10" s="1096">
        <v>1432</v>
      </c>
      <c r="H10" s="83">
        <v>10280</v>
      </c>
      <c r="I10" s="1288">
        <v>41300</v>
      </c>
    </row>
    <row r="11" spans="1:9" ht="12.75" customHeight="1">
      <c r="A11" s="1127">
        <f t="shared" si="0"/>
        <v>7</v>
      </c>
      <c r="B11" s="765" t="s">
        <v>759</v>
      </c>
      <c r="C11" s="1097">
        <v>17</v>
      </c>
      <c r="D11" s="1096">
        <v>1150</v>
      </c>
      <c r="E11" s="1096">
        <v>1150</v>
      </c>
      <c r="F11" s="1096">
        <v>1500</v>
      </c>
      <c r="G11" s="1096">
        <v>1185</v>
      </c>
      <c r="H11" s="83">
        <v>10757</v>
      </c>
      <c r="I11" s="1288">
        <v>52652</v>
      </c>
    </row>
    <row r="12" spans="1:9" ht="12.75" customHeight="1">
      <c r="A12" s="1127">
        <f t="shared" si="0"/>
        <v>8</v>
      </c>
      <c r="B12" s="765" t="s">
        <v>760</v>
      </c>
      <c r="C12" s="1097">
        <v>16</v>
      </c>
      <c r="D12" s="1096">
        <v>10732</v>
      </c>
      <c r="E12" s="1096">
        <v>10732</v>
      </c>
      <c r="F12" s="1096">
        <v>2500</v>
      </c>
      <c r="G12" s="1096">
        <v>1885</v>
      </c>
      <c r="H12" s="83">
        <v>31645</v>
      </c>
      <c r="I12" s="1288">
        <v>67827</v>
      </c>
    </row>
    <row r="13" spans="1:9" ht="12.75" customHeight="1">
      <c r="A13" s="1127">
        <f t="shared" si="0"/>
        <v>9</v>
      </c>
      <c r="B13" s="765" t="s">
        <v>1194</v>
      </c>
      <c r="C13" s="1097">
        <v>19</v>
      </c>
      <c r="D13" s="1096">
        <v>5686</v>
      </c>
      <c r="E13" s="1096">
        <v>5583</v>
      </c>
      <c r="F13" s="1096">
        <v>4683</v>
      </c>
      <c r="G13" s="1096">
        <v>3568</v>
      </c>
      <c r="H13" s="83">
        <v>31905</v>
      </c>
      <c r="I13" s="1288">
        <v>83399</v>
      </c>
    </row>
    <row r="14" spans="1:9" ht="12.75" customHeight="1">
      <c r="A14" s="1127">
        <f t="shared" si="0"/>
        <v>10</v>
      </c>
      <c r="B14" s="765" t="s">
        <v>1221</v>
      </c>
      <c r="C14" s="1097">
        <v>17</v>
      </c>
      <c r="D14" s="1096">
        <v>2989</v>
      </c>
      <c r="E14" s="1096">
        <v>2989</v>
      </c>
      <c r="F14" s="1096">
        <v>1499</v>
      </c>
      <c r="G14" s="1096">
        <v>1228</v>
      </c>
      <c r="H14" s="83">
        <v>11770</v>
      </c>
      <c r="I14" s="1288">
        <v>23060</v>
      </c>
    </row>
    <row r="15" spans="1:9" ht="12.75" customHeight="1">
      <c r="A15" s="1127">
        <f t="shared" si="0"/>
        <v>11</v>
      </c>
      <c r="B15" s="765" t="s">
        <v>761</v>
      </c>
      <c r="C15" s="1097">
        <v>15</v>
      </c>
      <c r="D15" s="1096">
        <v>2910</v>
      </c>
      <c r="E15" s="1096">
        <v>2910</v>
      </c>
      <c r="F15" s="1096">
        <v>1048</v>
      </c>
      <c r="G15" s="1096">
        <v>808</v>
      </c>
      <c r="H15" s="83">
        <v>6880</v>
      </c>
      <c r="I15" s="1288">
        <v>107980</v>
      </c>
    </row>
    <row r="16" spans="1:9" ht="12.75" customHeight="1">
      <c r="A16" s="1127">
        <f t="shared" si="0"/>
        <v>12</v>
      </c>
      <c r="B16" s="765" t="s">
        <v>762</v>
      </c>
      <c r="C16" s="1097">
        <v>18</v>
      </c>
      <c r="D16" s="1096">
        <v>2563</v>
      </c>
      <c r="E16" s="1096">
        <v>2532</v>
      </c>
      <c r="F16" s="1096">
        <v>4555</v>
      </c>
      <c r="G16" s="1096">
        <v>3401</v>
      </c>
      <c r="H16" s="83">
        <v>24808</v>
      </c>
      <c r="I16" s="1288">
        <v>130216</v>
      </c>
    </row>
    <row r="17" spans="1:9" ht="12.75" customHeight="1">
      <c r="A17" s="1127">
        <f t="shared" si="0"/>
        <v>13</v>
      </c>
      <c r="B17" s="765" t="s">
        <v>1223</v>
      </c>
      <c r="C17" s="1097">
        <v>19</v>
      </c>
      <c r="D17" s="1096">
        <v>9461</v>
      </c>
      <c r="E17" s="1096">
        <v>9452</v>
      </c>
      <c r="F17" s="1096">
        <v>9564</v>
      </c>
      <c r="G17" s="1096">
        <v>6425</v>
      </c>
      <c r="H17" s="83">
        <v>44445</v>
      </c>
      <c r="I17" s="1288">
        <v>151940</v>
      </c>
    </row>
    <row r="18" spans="1:9" ht="12.75" customHeight="1">
      <c r="A18" s="1127">
        <f t="shared" si="0"/>
        <v>14</v>
      </c>
      <c r="B18" s="765" t="s">
        <v>1224</v>
      </c>
      <c r="C18" s="1097">
        <v>18</v>
      </c>
      <c r="D18" s="1096">
        <v>3764</v>
      </c>
      <c r="E18" s="1096">
        <v>3687</v>
      </c>
      <c r="F18" s="1096">
        <v>10662</v>
      </c>
      <c r="G18" s="1096">
        <v>7304</v>
      </c>
      <c r="H18" s="83">
        <v>54720</v>
      </c>
      <c r="I18" s="1288">
        <v>161356</v>
      </c>
    </row>
    <row r="19" spans="1:9" ht="12.75" customHeight="1">
      <c r="A19" s="1127">
        <f t="shared" si="0"/>
        <v>15</v>
      </c>
      <c r="B19" s="765" t="s">
        <v>1197</v>
      </c>
      <c r="C19" s="1097">
        <v>18</v>
      </c>
      <c r="D19" s="1096">
        <v>14303</v>
      </c>
      <c r="E19" s="1096">
        <v>14303</v>
      </c>
      <c r="F19" s="1096">
        <v>2706</v>
      </c>
      <c r="G19" s="1096">
        <v>2115</v>
      </c>
      <c r="H19" s="83">
        <v>22718</v>
      </c>
      <c r="I19" s="1288">
        <v>106166</v>
      </c>
    </row>
    <row r="20" spans="1:9" ht="12.75" customHeight="1">
      <c r="A20" s="1127">
        <f t="shared" si="0"/>
        <v>16</v>
      </c>
      <c r="B20" s="765" t="s">
        <v>1198</v>
      </c>
      <c r="C20" s="1097">
        <v>17</v>
      </c>
      <c r="D20" s="1096">
        <v>9066</v>
      </c>
      <c r="E20" s="1096">
        <v>9009</v>
      </c>
      <c r="F20" s="1096">
        <v>4282</v>
      </c>
      <c r="G20" s="1096">
        <v>3208</v>
      </c>
      <c r="H20" s="83">
        <v>64740</v>
      </c>
      <c r="I20" s="1288">
        <v>107740</v>
      </c>
    </row>
    <row r="21" spans="1:9" ht="12.75" customHeight="1">
      <c r="A21" s="1127">
        <f t="shared" si="0"/>
        <v>17</v>
      </c>
      <c r="B21" s="765" t="s">
        <v>1225</v>
      </c>
      <c r="C21" s="1097">
        <v>15</v>
      </c>
      <c r="D21" s="1096">
        <v>1603</v>
      </c>
      <c r="E21" s="1096">
        <v>1603</v>
      </c>
      <c r="F21" s="1096">
        <v>1227</v>
      </c>
      <c r="G21" s="1096">
        <v>936</v>
      </c>
      <c r="H21" s="83">
        <v>936</v>
      </c>
      <c r="I21" s="1288">
        <v>9120</v>
      </c>
    </row>
    <row r="22" spans="1:9" ht="12.75" customHeight="1">
      <c r="A22" s="1127">
        <f t="shared" si="0"/>
        <v>18</v>
      </c>
      <c r="B22" s="765" t="s">
        <v>1226</v>
      </c>
      <c r="C22" s="1097">
        <v>15</v>
      </c>
      <c r="D22" s="1096">
        <v>1661</v>
      </c>
      <c r="E22" s="1096">
        <v>1661</v>
      </c>
      <c r="F22" s="1096">
        <v>1402</v>
      </c>
      <c r="G22" s="1096">
        <v>1030</v>
      </c>
      <c r="H22" s="83">
        <v>3130</v>
      </c>
      <c r="I22" s="1288">
        <v>7670</v>
      </c>
    </row>
    <row r="23" spans="1:9" ht="12.75" customHeight="1">
      <c r="A23" s="1127">
        <f t="shared" si="0"/>
        <v>19</v>
      </c>
      <c r="B23" s="765" t="s">
        <v>837</v>
      </c>
      <c r="C23" s="1097">
        <v>16</v>
      </c>
      <c r="D23" s="1096">
        <v>2562</v>
      </c>
      <c r="E23" s="1096">
        <v>2562</v>
      </c>
      <c r="F23" s="1096">
        <v>498</v>
      </c>
      <c r="G23" s="1096">
        <v>377</v>
      </c>
      <c r="H23" s="83">
        <v>3940</v>
      </c>
      <c r="I23" s="1288">
        <v>17730</v>
      </c>
    </row>
    <row r="24" spans="1:9" ht="12.75" customHeight="1">
      <c r="A24" s="1127">
        <f t="shared" si="0"/>
        <v>20</v>
      </c>
      <c r="B24" s="765" t="s">
        <v>1203</v>
      </c>
      <c r="C24" s="1097">
        <v>19</v>
      </c>
      <c r="D24" s="1096">
        <v>7079</v>
      </c>
      <c r="E24" s="1096">
        <v>7079</v>
      </c>
      <c r="F24" s="1096">
        <v>2698</v>
      </c>
      <c r="G24" s="1096">
        <v>1950</v>
      </c>
      <c r="H24" s="83">
        <v>21547</v>
      </c>
      <c r="I24" s="1288">
        <v>101461</v>
      </c>
    </row>
    <row r="25" spans="1:9" ht="12.75" customHeight="1">
      <c r="A25" s="1127">
        <f t="shared" si="0"/>
        <v>21</v>
      </c>
      <c r="B25" s="765" t="s">
        <v>1204</v>
      </c>
      <c r="C25" s="1097">
        <v>17</v>
      </c>
      <c r="D25" s="1096">
        <v>8646</v>
      </c>
      <c r="E25" s="1096">
        <v>8646</v>
      </c>
      <c r="F25" s="1096">
        <v>794</v>
      </c>
      <c r="G25" s="1096">
        <v>680</v>
      </c>
      <c r="H25" s="83">
        <v>6511</v>
      </c>
      <c r="I25" s="1288">
        <v>106472</v>
      </c>
    </row>
    <row r="26" spans="1:9" ht="12.75" customHeight="1">
      <c r="A26" s="1127">
        <f t="shared" si="0"/>
        <v>22</v>
      </c>
      <c r="B26" s="629" t="s">
        <v>1744</v>
      </c>
      <c r="C26" s="1097">
        <v>16</v>
      </c>
      <c r="D26" s="1096">
        <v>1046</v>
      </c>
      <c r="E26" s="1096">
        <v>1046</v>
      </c>
      <c r="F26" s="1096">
        <v>2278</v>
      </c>
      <c r="G26" s="1096">
        <v>1724</v>
      </c>
      <c r="H26" s="83">
        <v>19219</v>
      </c>
      <c r="I26" s="1288">
        <v>108132</v>
      </c>
    </row>
    <row r="27" spans="1:9" ht="12.75" customHeight="1">
      <c r="A27" s="1127">
        <f t="shared" si="0"/>
        <v>23</v>
      </c>
      <c r="B27" s="629" t="s">
        <v>1745</v>
      </c>
      <c r="C27" s="1097">
        <v>18</v>
      </c>
      <c r="D27" s="1096">
        <v>2271</v>
      </c>
      <c r="E27" s="1096">
        <v>2271</v>
      </c>
      <c r="F27" s="1096">
        <v>995</v>
      </c>
      <c r="G27" s="1096">
        <v>800</v>
      </c>
      <c r="H27" s="83">
        <v>10643</v>
      </c>
      <c r="I27" s="1288">
        <v>95962</v>
      </c>
    </row>
    <row r="28" spans="1:9" ht="12.75" customHeight="1">
      <c r="A28" s="1127">
        <f t="shared" si="0"/>
        <v>24</v>
      </c>
      <c r="B28" s="765" t="s">
        <v>1227</v>
      </c>
      <c r="C28" s="1097">
        <v>16</v>
      </c>
      <c r="D28" s="1096">
        <v>5198</v>
      </c>
      <c r="E28" s="1096">
        <v>5198</v>
      </c>
      <c r="F28" s="1096">
        <v>1145</v>
      </c>
      <c r="G28" s="1096">
        <v>877</v>
      </c>
      <c r="H28" s="83">
        <v>2169</v>
      </c>
      <c r="I28" s="1288">
        <v>51511</v>
      </c>
    </row>
    <row r="29" spans="1:9" ht="12.75" customHeight="1">
      <c r="A29" s="1127">
        <f t="shared" si="0"/>
        <v>25</v>
      </c>
      <c r="B29" s="765" t="s">
        <v>1228</v>
      </c>
      <c r="C29" s="1097">
        <v>16</v>
      </c>
      <c r="D29" s="1096">
        <v>12656</v>
      </c>
      <c r="E29" s="1096">
        <v>12656</v>
      </c>
      <c r="F29" s="1096">
        <v>3791</v>
      </c>
      <c r="G29" s="1096">
        <v>2910</v>
      </c>
      <c r="H29" s="83">
        <v>17649</v>
      </c>
      <c r="I29" s="1288">
        <v>97430</v>
      </c>
    </row>
    <row r="30" spans="1:9" ht="12.75" customHeight="1">
      <c r="A30" s="1127">
        <f t="shared" si="0"/>
        <v>26</v>
      </c>
      <c r="B30" s="765" t="s">
        <v>1205</v>
      </c>
      <c r="C30" s="1097">
        <v>17</v>
      </c>
      <c r="D30" s="1096">
        <v>31093</v>
      </c>
      <c r="E30" s="1096">
        <v>31093</v>
      </c>
      <c r="F30" s="1096">
        <v>4230</v>
      </c>
      <c r="G30" s="1096">
        <v>2886</v>
      </c>
      <c r="H30" s="83">
        <v>33389</v>
      </c>
      <c r="I30" s="1288">
        <v>109980</v>
      </c>
    </row>
    <row r="31" spans="1:9" ht="12.75" customHeight="1">
      <c r="A31" s="1127">
        <f t="shared" si="0"/>
        <v>27</v>
      </c>
      <c r="B31" s="765" t="s">
        <v>1206</v>
      </c>
      <c r="C31" s="1097">
        <v>18</v>
      </c>
      <c r="D31" s="1096">
        <v>5568</v>
      </c>
      <c r="E31" s="1096">
        <v>5568</v>
      </c>
      <c r="F31" s="1096">
        <v>4506</v>
      </c>
      <c r="G31" s="1096">
        <v>3204</v>
      </c>
      <c r="H31" s="83">
        <v>34343</v>
      </c>
      <c r="I31" s="1288">
        <v>72645</v>
      </c>
    </row>
    <row r="32" spans="1:9" ht="12.75" customHeight="1">
      <c r="A32" s="1127">
        <f t="shared" si="0"/>
        <v>28</v>
      </c>
      <c r="B32" s="765" t="s">
        <v>1207</v>
      </c>
      <c r="C32" s="1097">
        <v>17</v>
      </c>
      <c r="D32" s="1096">
        <v>2927</v>
      </c>
      <c r="E32" s="1096">
        <v>2927</v>
      </c>
      <c r="F32" s="1096">
        <v>4399</v>
      </c>
      <c r="G32" s="1096">
        <v>3106</v>
      </c>
      <c r="H32" s="83">
        <v>5977</v>
      </c>
      <c r="I32" s="1288">
        <v>73856</v>
      </c>
    </row>
    <row r="33" spans="1:9" ht="12.75" customHeight="1">
      <c r="A33" s="1128">
        <f t="shared" si="0"/>
        <v>29</v>
      </c>
      <c r="B33" s="1126" t="s">
        <v>1208</v>
      </c>
      <c r="C33" s="1083">
        <v>17</v>
      </c>
      <c r="D33" s="1098">
        <v>9404</v>
      </c>
      <c r="E33" s="1098">
        <v>9344</v>
      </c>
      <c r="F33" s="1098">
        <v>7997</v>
      </c>
      <c r="G33" s="1098">
        <v>5805</v>
      </c>
      <c r="H33" s="1099">
        <v>41452</v>
      </c>
      <c r="I33" s="1289">
        <v>109125</v>
      </c>
    </row>
    <row r="34" spans="1:9" ht="12" customHeight="1">
      <c r="C34" s="1097"/>
      <c r="E34" s="1333"/>
      <c r="F34" s="1008" t="s">
        <v>610</v>
      </c>
      <c r="G34" s="1009" t="s">
        <v>1032</v>
      </c>
      <c r="H34" s="98"/>
      <c r="I34" s="98"/>
    </row>
    <row r="35" spans="1:9" ht="12" customHeight="1">
      <c r="C35" s="1009"/>
      <c r="F35" s="1065" t="s">
        <v>615</v>
      </c>
      <c r="G35" s="1009" t="s">
        <v>1648</v>
      </c>
      <c r="H35" s="98"/>
      <c r="I35" s="98"/>
    </row>
    <row r="36" spans="1:9" ht="12" customHeight="1">
      <c r="C36" s="1009"/>
      <c r="F36" s="1065" t="s">
        <v>616</v>
      </c>
      <c r="G36" s="2064" t="s">
        <v>383</v>
      </c>
      <c r="H36" s="2282"/>
      <c r="I36" s="2282"/>
    </row>
    <row r="37" spans="1:9" ht="12" customHeight="1">
      <c r="C37" s="1009"/>
      <c r="F37" s="1065"/>
      <c r="G37" s="2282"/>
      <c r="H37" s="2282"/>
      <c r="I37" s="2282"/>
    </row>
    <row r="38" spans="1:9" ht="12" customHeight="1">
      <c r="F38" s="1008" t="s">
        <v>617</v>
      </c>
      <c r="G38" s="2064" t="s">
        <v>384</v>
      </c>
      <c r="H38" s="2282"/>
      <c r="I38" s="2282"/>
    </row>
    <row r="39" spans="1:9" ht="12" customHeight="1">
      <c r="E39" s="94"/>
      <c r="G39" s="2282"/>
      <c r="H39" s="2282"/>
      <c r="I39" s="2282"/>
    </row>
    <row r="42" spans="1:9">
      <c r="D42" s="6"/>
    </row>
    <row r="45" spans="1:9">
      <c r="D45" s="6"/>
    </row>
    <row r="54" spans="4:4">
      <c r="D54" s="6"/>
    </row>
  </sheetData>
  <mergeCells count="4">
    <mergeCell ref="A1:I1"/>
    <mergeCell ref="A2:I2"/>
    <mergeCell ref="G36:I37"/>
    <mergeCell ref="G38:I39"/>
  </mergeCells>
  <phoneticPr fontId="0" type="noConversion"/>
  <printOptions horizontalCentered="1"/>
  <pageMargins left="0.1" right="0.1" top="0.48" bottom="0.1" header="0.52" footer="0.1"/>
  <pageSetup paperSize="9" orientation="landscape" blackAndWhite="1" r:id="rId1"/>
  <headerFooter alignWithMargins="0"/>
</worksheet>
</file>

<file path=xl/worksheets/sheet82.xml><?xml version="1.0" encoding="utf-8"?>
<worksheet xmlns="http://schemas.openxmlformats.org/spreadsheetml/2006/main" xmlns:r="http://schemas.openxmlformats.org/officeDocument/2006/relationships">
  <dimension ref="A1:H40"/>
  <sheetViews>
    <sheetView workbookViewId="0">
      <selection activeCell="O25" sqref="O25"/>
    </sheetView>
  </sheetViews>
  <sheetFormatPr defaultRowHeight="12.75"/>
  <cols>
    <col min="1" max="1" width="4" style="1655" customWidth="1"/>
    <col min="2" max="2" width="17.85546875" style="1655" customWidth="1"/>
    <col min="3" max="7" width="11" style="1655" customWidth="1"/>
    <col min="8" max="8" width="12.42578125" style="1655" customWidth="1"/>
    <col min="9" max="256" width="9.140625" style="1655"/>
    <col min="257" max="257" width="4" style="1655" customWidth="1"/>
    <col min="258" max="258" width="17.85546875" style="1655" customWidth="1"/>
    <col min="259" max="263" width="11" style="1655" customWidth="1"/>
    <col min="264" max="264" width="12.42578125" style="1655" customWidth="1"/>
    <col min="265" max="512" width="9.140625" style="1655"/>
    <col min="513" max="513" width="4" style="1655" customWidth="1"/>
    <col min="514" max="514" width="17.85546875" style="1655" customWidth="1"/>
    <col min="515" max="519" width="11" style="1655" customWidth="1"/>
    <col min="520" max="520" width="12.42578125" style="1655" customWidth="1"/>
    <col min="521" max="768" width="9.140625" style="1655"/>
    <col min="769" max="769" width="4" style="1655" customWidth="1"/>
    <col min="770" max="770" width="17.85546875" style="1655" customWidth="1"/>
    <col min="771" max="775" width="11" style="1655" customWidth="1"/>
    <col min="776" max="776" width="12.42578125" style="1655" customWidth="1"/>
    <col min="777" max="1024" width="9.140625" style="1655"/>
    <col min="1025" max="1025" width="4" style="1655" customWidth="1"/>
    <col min="1026" max="1026" width="17.85546875" style="1655" customWidth="1"/>
    <col min="1027" max="1031" width="11" style="1655" customWidth="1"/>
    <col min="1032" max="1032" width="12.42578125" style="1655" customWidth="1"/>
    <col min="1033" max="1280" width="9.140625" style="1655"/>
    <col min="1281" max="1281" width="4" style="1655" customWidth="1"/>
    <col min="1282" max="1282" width="17.85546875" style="1655" customWidth="1"/>
    <col min="1283" max="1287" width="11" style="1655" customWidth="1"/>
    <col min="1288" max="1288" width="12.42578125" style="1655" customWidth="1"/>
    <col min="1289" max="1536" width="9.140625" style="1655"/>
    <col min="1537" max="1537" width="4" style="1655" customWidth="1"/>
    <col min="1538" max="1538" width="17.85546875" style="1655" customWidth="1"/>
    <col min="1539" max="1543" width="11" style="1655" customWidth="1"/>
    <col min="1544" max="1544" width="12.42578125" style="1655" customWidth="1"/>
    <col min="1545" max="1792" width="9.140625" style="1655"/>
    <col min="1793" max="1793" width="4" style="1655" customWidth="1"/>
    <col min="1794" max="1794" width="17.85546875" style="1655" customWidth="1"/>
    <col min="1795" max="1799" width="11" style="1655" customWidth="1"/>
    <col min="1800" max="1800" width="12.42578125" style="1655" customWidth="1"/>
    <col min="1801" max="2048" width="9.140625" style="1655"/>
    <col min="2049" max="2049" width="4" style="1655" customWidth="1"/>
    <col min="2050" max="2050" width="17.85546875" style="1655" customWidth="1"/>
    <col min="2051" max="2055" width="11" style="1655" customWidth="1"/>
    <col min="2056" max="2056" width="12.42578125" style="1655" customWidth="1"/>
    <col min="2057" max="2304" width="9.140625" style="1655"/>
    <col min="2305" max="2305" width="4" style="1655" customWidth="1"/>
    <col min="2306" max="2306" width="17.85546875" style="1655" customWidth="1"/>
    <col min="2307" max="2311" width="11" style="1655" customWidth="1"/>
    <col min="2312" max="2312" width="12.42578125" style="1655" customWidth="1"/>
    <col min="2313" max="2560" width="9.140625" style="1655"/>
    <col min="2561" max="2561" width="4" style="1655" customWidth="1"/>
    <col min="2562" max="2562" width="17.85546875" style="1655" customWidth="1"/>
    <col min="2563" max="2567" width="11" style="1655" customWidth="1"/>
    <col min="2568" max="2568" width="12.42578125" style="1655" customWidth="1"/>
    <col min="2569" max="2816" width="9.140625" style="1655"/>
    <col min="2817" max="2817" width="4" style="1655" customWidth="1"/>
    <col min="2818" max="2818" width="17.85546875" style="1655" customWidth="1"/>
    <col min="2819" max="2823" width="11" style="1655" customWidth="1"/>
    <col min="2824" max="2824" width="12.42578125" style="1655" customWidth="1"/>
    <col min="2825" max="3072" width="9.140625" style="1655"/>
    <col min="3073" max="3073" width="4" style="1655" customWidth="1"/>
    <col min="3074" max="3074" width="17.85546875" style="1655" customWidth="1"/>
    <col min="3075" max="3079" width="11" style="1655" customWidth="1"/>
    <col min="3080" max="3080" width="12.42578125" style="1655" customWidth="1"/>
    <col min="3081" max="3328" width="9.140625" style="1655"/>
    <col min="3329" max="3329" width="4" style="1655" customWidth="1"/>
    <col min="3330" max="3330" width="17.85546875" style="1655" customWidth="1"/>
    <col min="3331" max="3335" width="11" style="1655" customWidth="1"/>
    <col min="3336" max="3336" width="12.42578125" style="1655" customWidth="1"/>
    <col min="3337" max="3584" width="9.140625" style="1655"/>
    <col min="3585" max="3585" width="4" style="1655" customWidth="1"/>
    <col min="3586" max="3586" width="17.85546875" style="1655" customWidth="1"/>
    <col min="3587" max="3591" width="11" style="1655" customWidth="1"/>
    <col min="3592" max="3592" width="12.42578125" style="1655" customWidth="1"/>
    <col min="3593" max="3840" width="9.140625" style="1655"/>
    <col min="3841" max="3841" width="4" style="1655" customWidth="1"/>
    <col min="3842" max="3842" width="17.85546875" style="1655" customWidth="1"/>
    <col min="3843" max="3847" width="11" style="1655" customWidth="1"/>
    <col min="3848" max="3848" width="12.42578125" style="1655" customWidth="1"/>
    <col min="3849" max="4096" width="9.140625" style="1655"/>
    <col min="4097" max="4097" width="4" style="1655" customWidth="1"/>
    <col min="4098" max="4098" width="17.85546875" style="1655" customWidth="1"/>
    <col min="4099" max="4103" width="11" style="1655" customWidth="1"/>
    <col min="4104" max="4104" width="12.42578125" style="1655" customWidth="1"/>
    <col min="4105" max="4352" width="9.140625" style="1655"/>
    <col min="4353" max="4353" width="4" style="1655" customWidth="1"/>
    <col min="4354" max="4354" width="17.85546875" style="1655" customWidth="1"/>
    <col min="4355" max="4359" width="11" style="1655" customWidth="1"/>
    <col min="4360" max="4360" width="12.42578125" style="1655" customWidth="1"/>
    <col min="4361" max="4608" width="9.140625" style="1655"/>
    <col min="4609" max="4609" width="4" style="1655" customWidth="1"/>
    <col min="4610" max="4610" width="17.85546875" style="1655" customWidth="1"/>
    <col min="4611" max="4615" width="11" style="1655" customWidth="1"/>
    <col min="4616" max="4616" width="12.42578125" style="1655" customWidth="1"/>
    <col min="4617" max="4864" width="9.140625" style="1655"/>
    <col min="4865" max="4865" width="4" style="1655" customWidth="1"/>
    <col min="4866" max="4866" width="17.85546875" style="1655" customWidth="1"/>
    <col min="4867" max="4871" width="11" style="1655" customWidth="1"/>
    <col min="4872" max="4872" width="12.42578125" style="1655" customWidth="1"/>
    <col min="4873" max="5120" width="9.140625" style="1655"/>
    <col min="5121" max="5121" width="4" style="1655" customWidth="1"/>
    <col min="5122" max="5122" width="17.85546875" style="1655" customWidth="1"/>
    <col min="5123" max="5127" width="11" style="1655" customWidth="1"/>
    <col min="5128" max="5128" width="12.42578125" style="1655" customWidth="1"/>
    <col min="5129" max="5376" width="9.140625" style="1655"/>
    <col min="5377" max="5377" width="4" style="1655" customWidth="1"/>
    <col min="5378" max="5378" width="17.85546875" style="1655" customWidth="1"/>
    <col min="5379" max="5383" width="11" style="1655" customWidth="1"/>
    <col min="5384" max="5384" width="12.42578125" style="1655" customWidth="1"/>
    <col min="5385" max="5632" width="9.140625" style="1655"/>
    <col min="5633" max="5633" width="4" style="1655" customWidth="1"/>
    <col min="5634" max="5634" width="17.85546875" style="1655" customWidth="1"/>
    <col min="5635" max="5639" width="11" style="1655" customWidth="1"/>
    <col min="5640" max="5640" width="12.42578125" style="1655" customWidth="1"/>
    <col min="5641" max="5888" width="9.140625" style="1655"/>
    <col min="5889" max="5889" width="4" style="1655" customWidth="1"/>
    <col min="5890" max="5890" width="17.85546875" style="1655" customWidth="1"/>
    <col min="5891" max="5895" width="11" style="1655" customWidth="1"/>
    <col min="5896" max="5896" width="12.42578125" style="1655" customWidth="1"/>
    <col min="5897" max="6144" width="9.140625" style="1655"/>
    <col min="6145" max="6145" width="4" style="1655" customWidth="1"/>
    <col min="6146" max="6146" width="17.85546875" style="1655" customWidth="1"/>
    <col min="6147" max="6151" width="11" style="1655" customWidth="1"/>
    <col min="6152" max="6152" width="12.42578125" style="1655" customWidth="1"/>
    <col min="6153" max="6400" width="9.140625" style="1655"/>
    <col min="6401" max="6401" width="4" style="1655" customWidth="1"/>
    <col min="6402" max="6402" width="17.85546875" style="1655" customWidth="1"/>
    <col min="6403" max="6407" width="11" style="1655" customWidth="1"/>
    <col min="6408" max="6408" width="12.42578125" style="1655" customWidth="1"/>
    <col min="6409" max="6656" width="9.140625" style="1655"/>
    <col min="6657" max="6657" width="4" style="1655" customWidth="1"/>
    <col min="6658" max="6658" width="17.85546875" style="1655" customWidth="1"/>
    <col min="6659" max="6663" width="11" style="1655" customWidth="1"/>
    <col min="6664" max="6664" width="12.42578125" style="1655" customWidth="1"/>
    <col min="6665" max="6912" width="9.140625" style="1655"/>
    <col min="6913" max="6913" width="4" style="1655" customWidth="1"/>
    <col min="6914" max="6914" width="17.85546875" style="1655" customWidth="1"/>
    <col min="6915" max="6919" width="11" style="1655" customWidth="1"/>
    <col min="6920" max="6920" width="12.42578125" style="1655" customWidth="1"/>
    <col min="6921" max="7168" width="9.140625" style="1655"/>
    <col min="7169" max="7169" width="4" style="1655" customWidth="1"/>
    <col min="7170" max="7170" width="17.85546875" style="1655" customWidth="1"/>
    <col min="7171" max="7175" width="11" style="1655" customWidth="1"/>
    <col min="7176" max="7176" width="12.42578125" style="1655" customWidth="1"/>
    <col min="7177" max="7424" width="9.140625" style="1655"/>
    <col min="7425" max="7425" width="4" style="1655" customWidth="1"/>
    <col min="7426" max="7426" width="17.85546875" style="1655" customWidth="1"/>
    <col min="7427" max="7431" width="11" style="1655" customWidth="1"/>
    <col min="7432" max="7432" width="12.42578125" style="1655" customWidth="1"/>
    <col min="7433" max="7680" width="9.140625" style="1655"/>
    <col min="7681" max="7681" width="4" style="1655" customWidth="1"/>
    <col min="7682" max="7682" width="17.85546875" style="1655" customWidth="1"/>
    <col min="7683" max="7687" width="11" style="1655" customWidth="1"/>
    <col min="7688" max="7688" width="12.42578125" style="1655" customWidth="1"/>
    <col min="7689" max="7936" width="9.140625" style="1655"/>
    <col min="7937" max="7937" width="4" style="1655" customWidth="1"/>
    <col min="7938" max="7938" width="17.85546875" style="1655" customWidth="1"/>
    <col min="7939" max="7943" width="11" style="1655" customWidth="1"/>
    <col min="7944" max="7944" width="12.42578125" style="1655" customWidth="1"/>
    <col min="7945" max="8192" width="9.140625" style="1655"/>
    <col min="8193" max="8193" width="4" style="1655" customWidth="1"/>
    <col min="8194" max="8194" width="17.85546875" style="1655" customWidth="1"/>
    <col min="8195" max="8199" width="11" style="1655" customWidth="1"/>
    <col min="8200" max="8200" width="12.42578125" style="1655" customWidth="1"/>
    <col min="8201" max="8448" width="9.140625" style="1655"/>
    <col min="8449" max="8449" width="4" style="1655" customWidth="1"/>
    <col min="8450" max="8450" width="17.85546875" style="1655" customWidth="1"/>
    <col min="8451" max="8455" width="11" style="1655" customWidth="1"/>
    <col min="8456" max="8456" width="12.42578125" style="1655" customWidth="1"/>
    <col min="8457" max="8704" width="9.140625" style="1655"/>
    <col min="8705" max="8705" width="4" style="1655" customWidth="1"/>
    <col min="8706" max="8706" width="17.85546875" style="1655" customWidth="1"/>
    <col min="8707" max="8711" width="11" style="1655" customWidth="1"/>
    <col min="8712" max="8712" width="12.42578125" style="1655" customWidth="1"/>
    <col min="8713" max="8960" width="9.140625" style="1655"/>
    <col min="8961" max="8961" width="4" style="1655" customWidth="1"/>
    <col min="8962" max="8962" width="17.85546875" style="1655" customWidth="1"/>
    <col min="8963" max="8967" width="11" style="1655" customWidth="1"/>
    <col min="8968" max="8968" width="12.42578125" style="1655" customWidth="1"/>
    <col min="8969" max="9216" width="9.140625" style="1655"/>
    <col min="9217" max="9217" width="4" style="1655" customWidth="1"/>
    <col min="9218" max="9218" width="17.85546875" style="1655" customWidth="1"/>
    <col min="9219" max="9223" width="11" style="1655" customWidth="1"/>
    <col min="9224" max="9224" width="12.42578125" style="1655" customWidth="1"/>
    <col min="9225" max="9472" width="9.140625" style="1655"/>
    <col min="9473" max="9473" width="4" style="1655" customWidth="1"/>
    <col min="9474" max="9474" width="17.85546875" style="1655" customWidth="1"/>
    <col min="9475" max="9479" width="11" style="1655" customWidth="1"/>
    <col min="9480" max="9480" width="12.42578125" style="1655" customWidth="1"/>
    <col min="9481" max="9728" width="9.140625" style="1655"/>
    <col min="9729" max="9729" width="4" style="1655" customWidth="1"/>
    <col min="9730" max="9730" width="17.85546875" style="1655" customWidth="1"/>
    <col min="9731" max="9735" width="11" style="1655" customWidth="1"/>
    <col min="9736" max="9736" width="12.42578125" style="1655" customWidth="1"/>
    <col min="9737" max="9984" width="9.140625" style="1655"/>
    <col min="9985" max="9985" width="4" style="1655" customWidth="1"/>
    <col min="9986" max="9986" width="17.85546875" style="1655" customWidth="1"/>
    <col min="9987" max="9991" width="11" style="1655" customWidth="1"/>
    <col min="9992" max="9992" width="12.42578125" style="1655" customWidth="1"/>
    <col min="9993" max="10240" width="9.140625" style="1655"/>
    <col min="10241" max="10241" width="4" style="1655" customWidth="1"/>
    <col min="10242" max="10242" width="17.85546875" style="1655" customWidth="1"/>
    <col min="10243" max="10247" width="11" style="1655" customWidth="1"/>
    <col min="10248" max="10248" width="12.42578125" style="1655" customWidth="1"/>
    <col min="10249" max="10496" width="9.140625" style="1655"/>
    <col min="10497" max="10497" width="4" style="1655" customWidth="1"/>
    <col min="10498" max="10498" width="17.85546875" style="1655" customWidth="1"/>
    <col min="10499" max="10503" width="11" style="1655" customWidth="1"/>
    <col min="10504" max="10504" width="12.42578125" style="1655" customWidth="1"/>
    <col min="10505" max="10752" width="9.140625" style="1655"/>
    <col min="10753" max="10753" width="4" style="1655" customWidth="1"/>
    <col min="10754" max="10754" width="17.85546875" style="1655" customWidth="1"/>
    <col min="10755" max="10759" width="11" style="1655" customWidth="1"/>
    <col min="10760" max="10760" width="12.42578125" style="1655" customWidth="1"/>
    <col min="10761" max="11008" width="9.140625" style="1655"/>
    <col min="11009" max="11009" width="4" style="1655" customWidth="1"/>
    <col min="11010" max="11010" width="17.85546875" style="1655" customWidth="1"/>
    <col min="11011" max="11015" width="11" style="1655" customWidth="1"/>
    <col min="11016" max="11016" width="12.42578125" style="1655" customWidth="1"/>
    <col min="11017" max="11264" width="9.140625" style="1655"/>
    <col min="11265" max="11265" width="4" style="1655" customWidth="1"/>
    <col min="11266" max="11266" width="17.85546875" style="1655" customWidth="1"/>
    <col min="11267" max="11271" width="11" style="1655" customWidth="1"/>
    <col min="11272" max="11272" width="12.42578125" style="1655" customWidth="1"/>
    <col min="11273" max="11520" width="9.140625" style="1655"/>
    <col min="11521" max="11521" width="4" style="1655" customWidth="1"/>
    <col min="11522" max="11522" width="17.85546875" style="1655" customWidth="1"/>
    <col min="11523" max="11527" width="11" style="1655" customWidth="1"/>
    <col min="11528" max="11528" width="12.42578125" style="1655" customWidth="1"/>
    <col min="11529" max="11776" width="9.140625" style="1655"/>
    <col min="11777" max="11777" width="4" style="1655" customWidth="1"/>
    <col min="11778" max="11778" width="17.85546875" style="1655" customWidth="1"/>
    <col min="11779" max="11783" width="11" style="1655" customWidth="1"/>
    <col min="11784" max="11784" width="12.42578125" style="1655" customWidth="1"/>
    <col min="11785" max="12032" width="9.140625" style="1655"/>
    <col min="12033" max="12033" width="4" style="1655" customWidth="1"/>
    <col min="12034" max="12034" width="17.85546875" style="1655" customWidth="1"/>
    <col min="12035" max="12039" width="11" style="1655" customWidth="1"/>
    <col min="12040" max="12040" width="12.42578125" style="1655" customWidth="1"/>
    <col min="12041" max="12288" width="9.140625" style="1655"/>
    <col min="12289" max="12289" width="4" style="1655" customWidth="1"/>
    <col min="12290" max="12290" width="17.85546875" style="1655" customWidth="1"/>
    <col min="12291" max="12295" width="11" style="1655" customWidth="1"/>
    <col min="12296" max="12296" width="12.42578125" style="1655" customWidth="1"/>
    <col min="12297" max="12544" width="9.140625" style="1655"/>
    <col min="12545" max="12545" width="4" style="1655" customWidth="1"/>
    <col min="12546" max="12546" width="17.85546875" style="1655" customWidth="1"/>
    <col min="12547" max="12551" width="11" style="1655" customWidth="1"/>
    <col min="12552" max="12552" width="12.42578125" style="1655" customWidth="1"/>
    <col min="12553" max="12800" width="9.140625" style="1655"/>
    <col min="12801" max="12801" width="4" style="1655" customWidth="1"/>
    <col min="12802" max="12802" width="17.85546875" style="1655" customWidth="1"/>
    <col min="12803" max="12807" width="11" style="1655" customWidth="1"/>
    <col min="12808" max="12808" width="12.42578125" style="1655" customWidth="1"/>
    <col min="12809" max="13056" width="9.140625" style="1655"/>
    <col min="13057" max="13057" width="4" style="1655" customWidth="1"/>
    <col min="13058" max="13058" width="17.85546875" style="1655" customWidth="1"/>
    <col min="13059" max="13063" width="11" style="1655" customWidth="1"/>
    <col min="13064" max="13064" width="12.42578125" style="1655" customWidth="1"/>
    <col min="13065" max="13312" width="9.140625" style="1655"/>
    <col min="13313" max="13313" width="4" style="1655" customWidth="1"/>
    <col min="13314" max="13314" width="17.85546875" style="1655" customWidth="1"/>
    <col min="13315" max="13319" width="11" style="1655" customWidth="1"/>
    <col min="13320" max="13320" width="12.42578125" style="1655" customWidth="1"/>
    <col min="13321" max="13568" width="9.140625" style="1655"/>
    <col min="13569" max="13569" width="4" style="1655" customWidth="1"/>
    <col min="13570" max="13570" width="17.85546875" style="1655" customWidth="1"/>
    <col min="13571" max="13575" width="11" style="1655" customWidth="1"/>
    <col min="13576" max="13576" width="12.42578125" style="1655" customWidth="1"/>
    <col min="13577" max="13824" width="9.140625" style="1655"/>
    <col min="13825" max="13825" width="4" style="1655" customWidth="1"/>
    <col min="13826" max="13826" width="17.85546875" style="1655" customWidth="1"/>
    <col min="13827" max="13831" width="11" style="1655" customWidth="1"/>
    <col min="13832" max="13832" width="12.42578125" style="1655" customWidth="1"/>
    <col min="13833" max="14080" width="9.140625" style="1655"/>
    <col min="14081" max="14081" width="4" style="1655" customWidth="1"/>
    <col min="14082" max="14082" width="17.85546875" style="1655" customWidth="1"/>
    <col min="14083" max="14087" width="11" style="1655" customWidth="1"/>
    <col min="14088" max="14088" width="12.42578125" style="1655" customWidth="1"/>
    <col min="14089" max="14336" width="9.140625" style="1655"/>
    <col min="14337" max="14337" width="4" style="1655" customWidth="1"/>
    <col min="14338" max="14338" width="17.85546875" style="1655" customWidth="1"/>
    <col min="14339" max="14343" width="11" style="1655" customWidth="1"/>
    <col min="14344" max="14344" width="12.42578125" style="1655" customWidth="1"/>
    <col min="14345" max="14592" width="9.140625" style="1655"/>
    <col min="14593" max="14593" width="4" style="1655" customWidth="1"/>
    <col min="14594" max="14594" width="17.85546875" style="1655" customWidth="1"/>
    <col min="14595" max="14599" width="11" style="1655" customWidth="1"/>
    <col min="14600" max="14600" width="12.42578125" style="1655" customWidth="1"/>
    <col min="14601" max="14848" width="9.140625" style="1655"/>
    <col min="14849" max="14849" width="4" style="1655" customWidth="1"/>
    <col min="14850" max="14850" width="17.85546875" style="1655" customWidth="1"/>
    <col min="14851" max="14855" width="11" style="1655" customWidth="1"/>
    <col min="14856" max="14856" width="12.42578125" style="1655" customWidth="1"/>
    <col min="14857" max="15104" width="9.140625" style="1655"/>
    <col min="15105" max="15105" width="4" style="1655" customWidth="1"/>
    <col min="15106" max="15106" width="17.85546875" style="1655" customWidth="1"/>
    <col min="15107" max="15111" width="11" style="1655" customWidth="1"/>
    <col min="15112" max="15112" width="12.42578125" style="1655" customWidth="1"/>
    <col min="15113" max="15360" width="9.140625" style="1655"/>
    <col min="15361" max="15361" width="4" style="1655" customWidth="1"/>
    <col min="15362" max="15362" width="17.85546875" style="1655" customWidth="1"/>
    <col min="15363" max="15367" width="11" style="1655" customWidth="1"/>
    <col min="15368" max="15368" width="12.42578125" style="1655" customWidth="1"/>
    <col min="15369" max="15616" width="9.140625" style="1655"/>
    <col min="15617" max="15617" width="4" style="1655" customWidth="1"/>
    <col min="15618" max="15618" width="17.85546875" style="1655" customWidth="1"/>
    <col min="15619" max="15623" width="11" style="1655" customWidth="1"/>
    <col min="15624" max="15624" width="12.42578125" style="1655" customWidth="1"/>
    <col min="15625" max="15872" width="9.140625" style="1655"/>
    <col min="15873" max="15873" width="4" style="1655" customWidth="1"/>
    <col min="15874" max="15874" width="17.85546875" style="1655" customWidth="1"/>
    <col min="15875" max="15879" width="11" style="1655" customWidth="1"/>
    <col min="15880" max="15880" width="12.42578125" style="1655" customWidth="1"/>
    <col min="15881" max="16128" width="9.140625" style="1655"/>
    <col min="16129" max="16129" width="4" style="1655" customWidth="1"/>
    <col min="16130" max="16130" width="17.85546875" style="1655" customWidth="1"/>
    <col min="16131" max="16135" width="11" style="1655" customWidth="1"/>
    <col min="16136" max="16136" width="12.42578125" style="1655" customWidth="1"/>
    <col min="16137" max="16384" width="9.140625" style="1655"/>
  </cols>
  <sheetData>
    <row r="1" spans="1:8" ht="18" customHeight="1">
      <c r="A1" s="1739" t="s">
        <v>1339</v>
      </c>
      <c r="B1" s="1739"/>
      <c r="C1" s="1739"/>
      <c r="D1" s="1739"/>
      <c r="E1" s="1739"/>
      <c r="F1" s="1739"/>
      <c r="G1" s="1739"/>
      <c r="H1" s="1739"/>
    </row>
    <row r="2" spans="1:8" ht="36" customHeight="1">
      <c r="A2" s="2047" t="s">
        <v>1904</v>
      </c>
      <c r="B2" s="2047"/>
      <c r="C2" s="2047"/>
      <c r="D2" s="2047"/>
      <c r="E2" s="2047"/>
      <c r="F2" s="2047"/>
      <c r="G2" s="2047"/>
      <c r="H2" s="2047"/>
    </row>
    <row r="3" spans="1:8" ht="18" customHeight="1">
      <c r="A3" s="1650" t="s">
        <v>237</v>
      </c>
      <c r="B3" s="2275" t="s">
        <v>235</v>
      </c>
      <c r="C3" s="2012" t="s">
        <v>1528</v>
      </c>
      <c r="D3" s="2096"/>
      <c r="E3" s="2096"/>
      <c r="F3" s="2096"/>
      <c r="G3" s="2013"/>
      <c r="H3" s="2283" t="s">
        <v>268</v>
      </c>
    </row>
    <row r="4" spans="1:8" ht="18" customHeight="1">
      <c r="A4" s="1651" t="s">
        <v>979</v>
      </c>
      <c r="B4" s="2276"/>
      <c r="C4" s="307" t="s">
        <v>266</v>
      </c>
      <c r="D4" s="1654" t="s">
        <v>267</v>
      </c>
      <c r="E4" s="1654" t="s">
        <v>1689</v>
      </c>
      <c r="F4" s="1657" t="s">
        <v>434</v>
      </c>
      <c r="G4" s="1656" t="s">
        <v>1111</v>
      </c>
      <c r="H4" s="2284"/>
    </row>
    <row r="5" spans="1:8" ht="18" customHeight="1">
      <c r="A5" s="1638" t="s">
        <v>928</v>
      </c>
      <c r="B5" s="199" t="s">
        <v>929</v>
      </c>
      <c r="C5" s="1639" t="s">
        <v>930</v>
      </c>
      <c r="D5" s="1638" t="s">
        <v>931</v>
      </c>
      <c r="E5" s="1638" t="s">
        <v>932</v>
      </c>
      <c r="F5" s="1053" t="s">
        <v>933</v>
      </c>
      <c r="G5" s="1652" t="s">
        <v>934</v>
      </c>
      <c r="H5" s="199" t="s">
        <v>959</v>
      </c>
    </row>
    <row r="6" spans="1:8" ht="26.25" customHeight="1">
      <c r="A6" s="1649">
        <v>1</v>
      </c>
      <c r="B6" s="1661" t="s">
        <v>1544</v>
      </c>
      <c r="C6" s="1643">
        <v>5669</v>
      </c>
      <c r="D6" s="1642">
        <v>228</v>
      </c>
      <c r="E6" s="1642">
        <v>4383</v>
      </c>
      <c r="F6" s="1659">
        <v>18</v>
      </c>
      <c r="G6" s="1648">
        <v>688</v>
      </c>
      <c r="H6" s="1659">
        <v>56937</v>
      </c>
    </row>
    <row r="7" spans="1:8" ht="19.5" customHeight="1">
      <c r="A7" s="1649">
        <f t="shared" ref="A7:A34" si="0">A6+1</f>
        <v>2</v>
      </c>
      <c r="B7" s="339" t="s">
        <v>1214</v>
      </c>
      <c r="C7" s="1643">
        <v>9434</v>
      </c>
      <c r="D7" s="1642">
        <v>23</v>
      </c>
      <c r="E7" s="1642">
        <v>11366</v>
      </c>
      <c r="F7" s="1659">
        <v>65</v>
      </c>
      <c r="G7" s="1648">
        <v>676</v>
      </c>
      <c r="H7" s="1659">
        <v>183094</v>
      </c>
    </row>
    <row r="8" spans="1:8" ht="19.5" customHeight="1">
      <c r="A8" s="1649">
        <f t="shared" si="0"/>
        <v>3</v>
      </c>
      <c r="B8" s="339" t="s">
        <v>1211</v>
      </c>
      <c r="C8" s="1643">
        <v>12850</v>
      </c>
      <c r="D8" s="1642">
        <v>50</v>
      </c>
      <c r="E8" s="1642">
        <v>16023</v>
      </c>
      <c r="F8" s="1659">
        <v>23</v>
      </c>
      <c r="G8" s="1648">
        <v>379</v>
      </c>
      <c r="H8" s="1659">
        <v>87470</v>
      </c>
    </row>
    <row r="9" spans="1:8" ht="19.5" customHeight="1">
      <c r="A9" s="1649">
        <f t="shared" si="0"/>
        <v>4</v>
      </c>
      <c r="B9" s="339" t="s">
        <v>1212</v>
      </c>
      <c r="C9" s="1643">
        <v>16350</v>
      </c>
      <c r="D9" s="1663">
        <v>188</v>
      </c>
      <c r="E9" s="1642">
        <v>21491</v>
      </c>
      <c r="F9" s="1659">
        <v>14</v>
      </c>
      <c r="G9" s="1648">
        <v>23</v>
      </c>
      <c r="H9" s="1659">
        <v>93393</v>
      </c>
    </row>
    <row r="10" spans="1:8" ht="19.5" customHeight="1">
      <c r="A10" s="1649">
        <f t="shared" si="0"/>
        <v>5</v>
      </c>
      <c r="B10" s="339" t="s">
        <v>1213</v>
      </c>
      <c r="C10" s="1643">
        <v>9357</v>
      </c>
      <c r="D10" s="1642">
        <v>31</v>
      </c>
      <c r="E10" s="1642">
        <v>7238</v>
      </c>
      <c r="F10" s="702" t="s">
        <v>1229</v>
      </c>
      <c r="G10" s="1648">
        <v>390</v>
      </c>
      <c r="H10" s="1659">
        <v>29713</v>
      </c>
    </row>
    <row r="11" spans="1:8" ht="19.5" customHeight="1">
      <c r="A11" s="1649">
        <f t="shared" si="0"/>
        <v>6</v>
      </c>
      <c r="B11" s="339" t="s">
        <v>1218</v>
      </c>
      <c r="C11" s="1643">
        <v>22939</v>
      </c>
      <c r="D11" s="1642">
        <v>497</v>
      </c>
      <c r="E11" s="1642">
        <v>15695</v>
      </c>
      <c r="F11" s="1659">
        <v>2150</v>
      </c>
      <c r="G11" s="1648">
        <v>634</v>
      </c>
      <c r="H11" s="1659">
        <v>107379</v>
      </c>
    </row>
    <row r="12" spans="1:8" ht="19.5" customHeight="1">
      <c r="A12" s="1649">
        <f t="shared" si="0"/>
        <v>7</v>
      </c>
      <c r="B12" s="339" t="s">
        <v>759</v>
      </c>
      <c r="C12" s="1643">
        <v>28216</v>
      </c>
      <c r="D12" s="1642">
        <v>22</v>
      </c>
      <c r="E12" s="1642">
        <v>24875</v>
      </c>
      <c r="F12" s="1659">
        <v>1009</v>
      </c>
      <c r="G12" s="1648">
        <v>72</v>
      </c>
      <c r="H12" s="1659">
        <v>161195</v>
      </c>
    </row>
    <row r="13" spans="1:8" ht="19.5" customHeight="1">
      <c r="A13" s="1649">
        <f t="shared" si="0"/>
        <v>8</v>
      </c>
      <c r="B13" s="339" t="s">
        <v>760</v>
      </c>
      <c r="C13" s="1643">
        <v>36865</v>
      </c>
      <c r="D13" s="1642">
        <v>580</v>
      </c>
      <c r="E13" s="1642">
        <v>36098</v>
      </c>
      <c r="F13" s="1659">
        <v>12312</v>
      </c>
      <c r="G13" s="1648">
        <v>115</v>
      </c>
      <c r="H13" s="1659">
        <v>168041</v>
      </c>
    </row>
    <row r="14" spans="1:8" ht="19.5" customHeight="1">
      <c r="A14" s="1649">
        <f t="shared" si="0"/>
        <v>9</v>
      </c>
      <c r="B14" s="339" t="s">
        <v>1194</v>
      </c>
      <c r="C14" s="1643">
        <v>54666</v>
      </c>
      <c r="D14" s="1642">
        <v>614</v>
      </c>
      <c r="E14" s="1642">
        <v>33554</v>
      </c>
      <c r="F14" s="1659">
        <v>9614</v>
      </c>
      <c r="G14" s="1648">
        <v>294</v>
      </c>
      <c r="H14" s="1659">
        <v>147763</v>
      </c>
    </row>
    <row r="15" spans="1:8" ht="19.5" customHeight="1">
      <c r="A15" s="1649">
        <f t="shared" si="0"/>
        <v>10</v>
      </c>
      <c r="B15" s="339" t="s">
        <v>1221</v>
      </c>
      <c r="C15" s="1643">
        <v>59045</v>
      </c>
      <c r="D15" s="1642">
        <v>715</v>
      </c>
      <c r="E15" s="1642">
        <v>47914</v>
      </c>
      <c r="F15" s="1659">
        <v>5572</v>
      </c>
      <c r="G15" s="1648">
        <v>400</v>
      </c>
      <c r="H15" s="1659">
        <v>425669</v>
      </c>
    </row>
    <row r="16" spans="1:8" ht="19.5" customHeight="1">
      <c r="A16" s="1649">
        <f t="shared" si="0"/>
        <v>11</v>
      </c>
      <c r="B16" s="339" t="s">
        <v>761</v>
      </c>
      <c r="C16" s="1643">
        <v>39175</v>
      </c>
      <c r="D16" s="1642">
        <v>12</v>
      </c>
      <c r="E16" s="1642">
        <v>31644</v>
      </c>
      <c r="F16" s="1659">
        <v>1831</v>
      </c>
      <c r="G16" s="1648">
        <v>279</v>
      </c>
      <c r="H16" s="1659">
        <v>233177</v>
      </c>
    </row>
    <row r="17" spans="1:8" ht="19.5" customHeight="1">
      <c r="A17" s="1649">
        <f t="shared" si="0"/>
        <v>12</v>
      </c>
      <c r="B17" s="339" t="s">
        <v>762</v>
      </c>
      <c r="C17" s="1643">
        <v>31698</v>
      </c>
      <c r="D17" s="1642">
        <v>15</v>
      </c>
      <c r="E17" s="1642">
        <v>26403</v>
      </c>
      <c r="F17" s="1659">
        <v>438</v>
      </c>
      <c r="G17" s="1648">
        <v>244</v>
      </c>
      <c r="H17" s="1659">
        <v>120265</v>
      </c>
    </row>
    <row r="18" spans="1:8" ht="19.5" customHeight="1">
      <c r="A18" s="1649">
        <f t="shared" si="0"/>
        <v>13</v>
      </c>
      <c r="B18" s="339" t="s">
        <v>1223</v>
      </c>
      <c r="C18" s="1643">
        <v>35877</v>
      </c>
      <c r="D18" s="1642">
        <v>954</v>
      </c>
      <c r="E18" s="1642">
        <v>31149</v>
      </c>
      <c r="F18" s="1659">
        <v>12044</v>
      </c>
      <c r="G18" s="1648">
        <v>366</v>
      </c>
      <c r="H18" s="1659">
        <v>177506</v>
      </c>
    </row>
    <row r="19" spans="1:8" ht="19.5" customHeight="1">
      <c r="A19" s="1649">
        <f t="shared" si="0"/>
        <v>14</v>
      </c>
      <c r="B19" s="339" t="s">
        <v>1224</v>
      </c>
      <c r="C19" s="1643">
        <v>33191</v>
      </c>
      <c r="D19" s="1642">
        <v>1081</v>
      </c>
      <c r="E19" s="1642">
        <v>37285</v>
      </c>
      <c r="F19" s="1659">
        <v>22314</v>
      </c>
      <c r="G19" s="1648">
        <v>3109</v>
      </c>
      <c r="H19" s="1659">
        <v>262358</v>
      </c>
    </row>
    <row r="20" spans="1:8" ht="19.5" customHeight="1">
      <c r="A20" s="1649">
        <f t="shared" si="0"/>
        <v>15</v>
      </c>
      <c r="B20" s="339" t="s">
        <v>1197</v>
      </c>
      <c r="C20" s="1643">
        <v>93256</v>
      </c>
      <c r="D20" s="1642">
        <v>1775</v>
      </c>
      <c r="E20" s="1642">
        <v>56297</v>
      </c>
      <c r="F20" s="1659">
        <v>33131</v>
      </c>
      <c r="G20" s="1648">
        <v>4004</v>
      </c>
      <c r="H20" s="1659">
        <v>271808</v>
      </c>
    </row>
    <row r="21" spans="1:8" ht="19.5" customHeight="1">
      <c r="A21" s="1649">
        <f t="shared" si="0"/>
        <v>16</v>
      </c>
      <c r="B21" s="339" t="s">
        <v>1198</v>
      </c>
      <c r="C21" s="1643">
        <v>91404</v>
      </c>
      <c r="D21" s="1642">
        <v>855</v>
      </c>
      <c r="E21" s="1642">
        <v>75231</v>
      </c>
      <c r="F21" s="1659">
        <v>38069</v>
      </c>
      <c r="G21" s="1648">
        <v>7421</v>
      </c>
      <c r="H21" s="1659">
        <v>331654</v>
      </c>
    </row>
    <row r="22" spans="1:8" ht="19.5" customHeight="1">
      <c r="A22" s="1649">
        <f t="shared" si="0"/>
        <v>17</v>
      </c>
      <c r="B22" s="339" t="s">
        <v>1225</v>
      </c>
      <c r="C22" s="1643">
        <v>19033</v>
      </c>
      <c r="D22" s="1642">
        <v>9</v>
      </c>
      <c r="E22" s="1642">
        <v>27429</v>
      </c>
      <c r="F22" s="1659">
        <v>1259</v>
      </c>
      <c r="G22" s="1648">
        <v>490</v>
      </c>
      <c r="H22" s="1659">
        <v>130624</v>
      </c>
    </row>
    <row r="23" spans="1:8" ht="19.5" customHeight="1">
      <c r="A23" s="1649">
        <f t="shared" si="0"/>
        <v>18</v>
      </c>
      <c r="B23" s="339" t="s">
        <v>1226</v>
      </c>
      <c r="C23" s="1643">
        <v>24702</v>
      </c>
      <c r="D23" s="1642">
        <v>2</v>
      </c>
      <c r="E23" s="1642">
        <v>28165</v>
      </c>
      <c r="F23" s="1659">
        <v>993</v>
      </c>
      <c r="G23" s="1648">
        <v>642</v>
      </c>
      <c r="H23" s="1659">
        <v>162857</v>
      </c>
    </row>
    <row r="24" spans="1:8" ht="19.5" customHeight="1">
      <c r="A24" s="1649">
        <f t="shared" si="0"/>
        <v>19</v>
      </c>
      <c r="B24" s="339" t="s">
        <v>837</v>
      </c>
      <c r="C24" s="1643">
        <v>19304</v>
      </c>
      <c r="D24" s="1642">
        <v>17</v>
      </c>
      <c r="E24" s="1642">
        <v>16434</v>
      </c>
      <c r="F24" s="1659">
        <v>1915</v>
      </c>
      <c r="G24" s="1648">
        <v>194</v>
      </c>
      <c r="H24" s="1659">
        <v>112746</v>
      </c>
    </row>
    <row r="25" spans="1:8" ht="19.5" customHeight="1">
      <c r="A25" s="1649">
        <f t="shared" si="0"/>
        <v>20</v>
      </c>
      <c r="B25" s="339" t="s">
        <v>1203</v>
      </c>
      <c r="C25" s="1643">
        <v>40717</v>
      </c>
      <c r="D25" s="1642">
        <v>43</v>
      </c>
      <c r="E25" s="1642">
        <v>36714</v>
      </c>
      <c r="F25" s="1659">
        <v>4319</v>
      </c>
      <c r="G25" s="1648">
        <v>345</v>
      </c>
      <c r="H25" s="1659">
        <v>211696</v>
      </c>
    </row>
    <row r="26" spans="1:8" ht="19.5" customHeight="1">
      <c r="A26" s="1649">
        <f t="shared" si="0"/>
        <v>21</v>
      </c>
      <c r="B26" s="339" t="s">
        <v>1204</v>
      </c>
      <c r="C26" s="1643">
        <v>19849</v>
      </c>
      <c r="D26" s="1642">
        <v>25</v>
      </c>
      <c r="E26" s="1642">
        <v>14455</v>
      </c>
      <c r="F26" s="1659">
        <v>87</v>
      </c>
      <c r="G26" s="1648">
        <v>158</v>
      </c>
      <c r="H26" s="1659">
        <v>157392</v>
      </c>
    </row>
    <row r="27" spans="1:8" ht="19.5" customHeight="1">
      <c r="A27" s="1649">
        <f t="shared" si="0"/>
        <v>22</v>
      </c>
      <c r="B27" s="339" t="s">
        <v>1744</v>
      </c>
      <c r="C27" s="1643">
        <v>13596</v>
      </c>
      <c r="D27" s="1663">
        <v>30</v>
      </c>
      <c r="E27" s="1642">
        <v>7484</v>
      </c>
      <c r="F27" s="1659">
        <v>396</v>
      </c>
      <c r="G27" s="1648">
        <v>135</v>
      </c>
      <c r="H27" s="1659">
        <v>60765</v>
      </c>
    </row>
    <row r="28" spans="1:8" ht="19.5" customHeight="1">
      <c r="A28" s="1649">
        <f t="shared" si="0"/>
        <v>23</v>
      </c>
      <c r="B28" s="339" t="s">
        <v>1745</v>
      </c>
      <c r="C28" s="1643">
        <v>19145</v>
      </c>
      <c r="D28" s="1642">
        <v>50</v>
      </c>
      <c r="E28" s="1642">
        <v>7869</v>
      </c>
      <c r="F28" s="1659">
        <v>236</v>
      </c>
      <c r="G28" s="1648">
        <v>138</v>
      </c>
      <c r="H28" s="1659">
        <v>77305</v>
      </c>
    </row>
    <row r="29" spans="1:8" ht="19.5" customHeight="1">
      <c r="A29" s="1649">
        <f t="shared" si="0"/>
        <v>24</v>
      </c>
      <c r="B29" s="339" t="s">
        <v>1227</v>
      </c>
      <c r="C29" s="1643">
        <v>25650</v>
      </c>
      <c r="D29" s="1642">
        <v>1243</v>
      </c>
      <c r="E29" s="1642">
        <v>28274</v>
      </c>
      <c r="F29" s="1659">
        <v>5882</v>
      </c>
      <c r="G29" s="1648">
        <v>295</v>
      </c>
      <c r="H29" s="1659">
        <v>122449</v>
      </c>
    </row>
    <row r="30" spans="1:8" ht="19.5" customHeight="1">
      <c r="A30" s="1649">
        <f t="shared" si="0"/>
        <v>25</v>
      </c>
      <c r="B30" s="339" t="s">
        <v>1228</v>
      </c>
      <c r="C30" s="1643">
        <v>45624</v>
      </c>
      <c r="D30" s="1642">
        <v>596</v>
      </c>
      <c r="E30" s="1642">
        <v>33338</v>
      </c>
      <c r="F30" s="1659">
        <v>8412</v>
      </c>
      <c r="G30" s="1648">
        <v>890</v>
      </c>
      <c r="H30" s="1659">
        <v>170332</v>
      </c>
    </row>
    <row r="31" spans="1:8" ht="19.5" customHeight="1">
      <c r="A31" s="1649">
        <f t="shared" si="0"/>
        <v>26</v>
      </c>
      <c r="B31" s="339" t="s">
        <v>1205</v>
      </c>
      <c r="C31" s="1643">
        <v>35146</v>
      </c>
      <c r="D31" s="1642">
        <v>662</v>
      </c>
      <c r="E31" s="1642">
        <v>21929</v>
      </c>
      <c r="F31" s="1659">
        <v>2918</v>
      </c>
      <c r="G31" s="1648">
        <v>1143</v>
      </c>
      <c r="H31" s="1659">
        <v>124040</v>
      </c>
    </row>
    <row r="32" spans="1:8" ht="19.5" customHeight="1">
      <c r="A32" s="1649">
        <f t="shared" si="0"/>
        <v>27</v>
      </c>
      <c r="B32" s="339" t="s">
        <v>1206</v>
      </c>
      <c r="C32" s="1643">
        <v>79188</v>
      </c>
      <c r="D32" s="1642">
        <v>51</v>
      </c>
      <c r="E32" s="1642">
        <v>70301</v>
      </c>
      <c r="F32" s="1659">
        <v>11711</v>
      </c>
      <c r="G32" s="1648">
        <v>895</v>
      </c>
      <c r="H32" s="1659">
        <v>232716</v>
      </c>
    </row>
    <row r="33" spans="1:8" ht="19.5" customHeight="1">
      <c r="A33" s="1649">
        <f t="shared" si="0"/>
        <v>28</v>
      </c>
      <c r="B33" s="339" t="s">
        <v>1207</v>
      </c>
      <c r="C33" s="1643">
        <v>66079</v>
      </c>
      <c r="D33" s="1642">
        <v>3</v>
      </c>
      <c r="E33" s="1642">
        <v>34257</v>
      </c>
      <c r="F33" s="1659">
        <v>6205</v>
      </c>
      <c r="G33" s="1648">
        <v>129</v>
      </c>
      <c r="H33" s="1659">
        <v>128901</v>
      </c>
    </row>
    <row r="34" spans="1:8" ht="19.5" customHeight="1">
      <c r="A34" s="1651">
        <f t="shared" si="0"/>
        <v>29</v>
      </c>
      <c r="B34" s="1658" t="s">
        <v>1208</v>
      </c>
      <c r="C34" s="1645">
        <v>98235</v>
      </c>
      <c r="D34" s="1644">
        <v>193</v>
      </c>
      <c r="E34" s="1644">
        <v>81089</v>
      </c>
      <c r="F34" s="1660">
        <v>43531</v>
      </c>
      <c r="G34" s="1646">
        <v>517</v>
      </c>
      <c r="H34" s="1660">
        <v>261516</v>
      </c>
    </row>
    <row r="35" spans="1:8" ht="12.75" customHeight="1">
      <c r="B35" s="760"/>
      <c r="H35" s="1664" t="s">
        <v>1905</v>
      </c>
    </row>
    <row r="36" spans="1:8" ht="12" customHeight="1">
      <c r="A36" s="761"/>
      <c r="B36" s="761"/>
      <c r="C36" s="115"/>
    </row>
    <row r="37" spans="1:8">
      <c r="A37" s="761"/>
      <c r="B37" s="761"/>
      <c r="C37" s="761"/>
      <c r="D37" s="1653"/>
      <c r="E37" s="1653"/>
      <c r="H37" s="1653"/>
    </row>
    <row r="38" spans="1:8" ht="12.75" customHeight="1"/>
    <row r="39" spans="1:8">
      <c r="A39" s="762"/>
      <c r="B39" s="762"/>
    </row>
    <row r="40" spans="1:8">
      <c r="A40" s="762"/>
      <c r="B40" s="762"/>
    </row>
  </sheetData>
  <mergeCells count="5">
    <mergeCell ref="A1:H1"/>
    <mergeCell ref="A2:H2"/>
    <mergeCell ref="B3:B4"/>
    <mergeCell ref="C3:G3"/>
    <mergeCell ref="H3:H4"/>
  </mergeCells>
  <printOptions horizontalCentered="1"/>
  <pageMargins left="0.26" right="0.23" top="0.8" bottom="0.1" header="0.8" footer="0.1"/>
  <pageSetup paperSize="9" orientation="portrait" blackAndWhite="1" r:id="rId1"/>
  <headerFooter alignWithMargins="0"/>
</worksheet>
</file>

<file path=xl/worksheets/sheet83.xml><?xml version="1.0" encoding="utf-8"?>
<worksheet xmlns="http://schemas.openxmlformats.org/spreadsheetml/2006/main" xmlns:r="http://schemas.openxmlformats.org/officeDocument/2006/relationships">
  <dimension ref="A1:G44"/>
  <sheetViews>
    <sheetView workbookViewId="0">
      <selection activeCell="O25" sqref="O25"/>
    </sheetView>
  </sheetViews>
  <sheetFormatPr defaultRowHeight="12.75"/>
  <cols>
    <col min="1" max="1" width="5.5703125" customWidth="1"/>
    <col min="2" max="2" width="22.140625" customWidth="1"/>
    <col min="3" max="3" width="15.28515625" customWidth="1"/>
    <col min="4" max="4" width="12.5703125" customWidth="1"/>
    <col min="5" max="5" width="30.28515625" customWidth="1"/>
  </cols>
  <sheetData>
    <row r="1" spans="1:7" ht="21.75" customHeight="1">
      <c r="A1" s="1765" t="s">
        <v>832</v>
      </c>
      <c r="B1" s="1765"/>
      <c r="C1" s="1765"/>
      <c r="D1" s="1765"/>
      <c r="E1" s="1765"/>
    </row>
    <row r="2" spans="1:7" ht="37.5" customHeight="1">
      <c r="A2" s="1736" t="str">
        <f>CONCATENATE("Commercial and Gramin Banks in the Blocks of 
",District!$A$1," for the year ",District!F3)</f>
        <v>Commercial and Gramin Banks in the Blocks of 
South 24-Parganas for the year 2013-14</v>
      </c>
      <c r="B2" s="1736"/>
      <c r="C2" s="1736"/>
      <c r="D2" s="1736"/>
      <c r="E2" s="1736"/>
      <c r="F2" s="7"/>
      <c r="G2" s="7"/>
    </row>
    <row r="3" spans="1:7" ht="18" customHeight="1">
      <c r="A3" s="455" t="s">
        <v>237</v>
      </c>
      <c r="B3" s="2279" t="s">
        <v>235</v>
      </c>
      <c r="C3" s="2012" t="s">
        <v>269</v>
      </c>
      <c r="D3" s="2013"/>
      <c r="E3" s="337" t="s">
        <v>1064</v>
      </c>
      <c r="F3" s="7"/>
      <c r="G3" s="7"/>
    </row>
    <row r="4" spans="1:7" ht="18" customHeight="1">
      <c r="A4" s="456" t="s">
        <v>979</v>
      </c>
      <c r="B4" s="2280"/>
      <c r="C4" s="460" t="s">
        <v>912</v>
      </c>
      <c r="D4" s="211" t="s">
        <v>270</v>
      </c>
      <c r="E4" s="457" t="s">
        <v>947</v>
      </c>
      <c r="F4" s="7"/>
      <c r="G4" s="7"/>
    </row>
    <row r="5" spans="1:7" ht="18" customHeight="1">
      <c r="A5" s="199" t="s">
        <v>928</v>
      </c>
      <c r="B5" s="120" t="s">
        <v>929</v>
      </c>
      <c r="C5" s="118" t="s">
        <v>930</v>
      </c>
      <c r="D5" s="199" t="s">
        <v>931</v>
      </c>
      <c r="E5" s="120" t="s">
        <v>932</v>
      </c>
      <c r="F5" s="745"/>
      <c r="G5" s="7"/>
    </row>
    <row r="6" spans="1:7" ht="19.5" customHeight="1">
      <c r="A6" s="515">
        <v>1</v>
      </c>
      <c r="B6" s="339" t="s">
        <v>757</v>
      </c>
      <c r="C6" s="261">
        <v>23</v>
      </c>
      <c r="D6" s="77">
        <v>8</v>
      </c>
      <c r="E6" s="991">
        <f>ROUND((VLOOKUP(B6,'2.2'!$A$6:$C$45,3,FALSE)/1000)/SUM(C6,D6),0)</f>
        <v>6</v>
      </c>
    </row>
    <row r="7" spans="1:7" ht="19.5" customHeight="1">
      <c r="A7" s="515">
        <f t="shared" ref="A7:A34" si="0">A6+1</f>
        <v>2</v>
      </c>
      <c r="B7" s="339" t="s">
        <v>1214</v>
      </c>
      <c r="C7" s="261">
        <v>5</v>
      </c>
      <c r="D7" s="77">
        <v>5</v>
      </c>
      <c r="E7" s="991">
        <f>ROUND((VLOOKUP(B7,'2.2'!$A$6:$C$45,3,FALSE)/1000)/SUM(C7,D7),0)</f>
        <v>23</v>
      </c>
    </row>
    <row r="8" spans="1:7" ht="19.5" customHeight="1">
      <c r="A8" s="515">
        <f t="shared" si="0"/>
        <v>3</v>
      </c>
      <c r="B8" s="339" t="s">
        <v>1211</v>
      </c>
      <c r="C8" s="261">
        <v>14</v>
      </c>
      <c r="D8" s="77">
        <v>1</v>
      </c>
      <c r="E8" s="991">
        <f>ROUND((VLOOKUP(B8,'2.2'!$A$6:$C$45,3,FALSE)/1000)/SUM(C8,D8),0)</f>
        <v>14</v>
      </c>
    </row>
    <row r="9" spans="1:7" ht="19.5" customHeight="1">
      <c r="A9" s="515">
        <f t="shared" si="0"/>
        <v>4</v>
      </c>
      <c r="B9" s="339" t="s">
        <v>1212</v>
      </c>
      <c r="C9" s="261">
        <v>12</v>
      </c>
      <c r="D9" s="1581" t="s">
        <v>1229</v>
      </c>
      <c r="E9" s="991">
        <f>ROUND((VLOOKUP(B9,'2.2'!$A$6:$C$45,3,FALSE)/1000)/SUM(C9,D9),0)</f>
        <v>9</v>
      </c>
    </row>
    <row r="10" spans="1:7" ht="19.5" customHeight="1">
      <c r="A10" s="515">
        <f t="shared" si="0"/>
        <v>5</v>
      </c>
      <c r="B10" s="339" t="s">
        <v>1213</v>
      </c>
      <c r="C10" s="261">
        <v>8</v>
      </c>
      <c r="D10" s="77">
        <v>2</v>
      </c>
      <c r="E10" s="991">
        <f>ROUND((VLOOKUP(B10,'2.2'!$A$6:$C$45,3,FALSE)/1000)/SUM(C10,D10),0)</f>
        <v>19</v>
      </c>
    </row>
    <row r="11" spans="1:7" ht="19.5" customHeight="1">
      <c r="A11" s="515">
        <f t="shared" si="0"/>
        <v>6</v>
      </c>
      <c r="B11" s="339" t="s">
        <v>1218</v>
      </c>
      <c r="C11" s="261">
        <v>30</v>
      </c>
      <c r="D11" s="77">
        <v>3</v>
      </c>
      <c r="E11" s="991">
        <f>ROUND((VLOOKUP(B11,'2.2'!$A$6:$C$45,3,FALSE)/1000)/SUM(C11,D11),0)</f>
        <v>7</v>
      </c>
    </row>
    <row r="12" spans="1:7" ht="19.5" customHeight="1">
      <c r="A12" s="515">
        <f t="shared" si="0"/>
        <v>7</v>
      </c>
      <c r="B12" s="339" t="s">
        <v>759</v>
      </c>
      <c r="C12" s="261">
        <v>8</v>
      </c>
      <c r="D12" s="77">
        <v>2</v>
      </c>
      <c r="E12" s="991">
        <f>ROUND((VLOOKUP(B12,'2.2'!$A$6:$C$45,3,FALSE)/1000)/SUM(C12,D12),0)</f>
        <v>26</v>
      </c>
    </row>
    <row r="13" spans="1:7" ht="19.5" customHeight="1">
      <c r="A13" s="515">
        <f t="shared" si="0"/>
        <v>8</v>
      </c>
      <c r="B13" s="339" t="s">
        <v>760</v>
      </c>
      <c r="C13" s="261">
        <v>3</v>
      </c>
      <c r="D13" s="77">
        <v>7</v>
      </c>
      <c r="E13" s="991">
        <f>ROUND((VLOOKUP(B13,'2.2'!$A$6:$C$45,3,FALSE)/1000)/SUM(C13,D13),0)</f>
        <v>25</v>
      </c>
    </row>
    <row r="14" spans="1:7" ht="19.5" customHeight="1">
      <c r="A14" s="515">
        <f t="shared" si="0"/>
        <v>9</v>
      </c>
      <c r="B14" s="339" t="s">
        <v>1194</v>
      </c>
      <c r="C14" s="261">
        <v>3</v>
      </c>
      <c r="D14" s="77">
        <v>2</v>
      </c>
      <c r="E14" s="991">
        <f>ROUND((VLOOKUP(B14,'2.2'!$A$6:$C$45,3,FALSE)/1000)/SUM(C14,D14),0)</f>
        <v>46</v>
      </c>
    </row>
    <row r="15" spans="1:7" ht="19.5" customHeight="1">
      <c r="A15" s="515">
        <f t="shared" si="0"/>
        <v>10</v>
      </c>
      <c r="B15" s="339" t="s">
        <v>1221</v>
      </c>
      <c r="C15" s="261">
        <v>27</v>
      </c>
      <c r="D15" s="77">
        <v>3</v>
      </c>
      <c r="E15" s="991">
        <f>ROUND((VLOOKUP(B15,'2.2'!$A$6:$C$45,3,FALSE)/1000)/SUM(C15,D15),0)</f>
        <v>14</v>
      </c>
    </row>
    <row r="16" spans="1:7" ht="19.5" customHeight="1">
      <c r="A16" s="515">
        <f t="shared" si="0"/>
        <v>11</v>
      </c>
      <c r="B16" s="339" t="s">
        <v>761</v>
      </c>
      <c r="C16" s="261">
        <v>11</v>
      </c>
      <c r="D16" s="77">
        <v>2</v>
      </c>
      <c r="E16" s="991">
        <f>ROUND((VLOOKUP(B16,'2.2'!$A$6:$C$45,3,FALSE)/1000)/SUM(C16,D16),0)</f>
        <v>19</v>
      </c>
    </row>
    <row r="17" spans="1:5" ht="19.5" customHeight="1">
      <c r="A17" s="515">
        <f t="shared" si="0"/>
        <v>12</v>
      </c>
      <c r="B17" s="339" t="s">
        <v>762</v>
      </c>
      <c r="C17" s="261">
        <v>7</v>
      </c>
      <c r="D17" s="77">
        <v>2</v>
      </c>
      <c r="E17" s="991">
        <f>ROUND((VLOOKUP(B17,'2.2'!$A$6:$C$45,3,FALSE)/1000)/SUM(C17,D17),0)</f>
        <v>27</v>
      </c>
    </row>
    <row r="18" spans="1:5" ht="19.5" customHeight="1">
      <c r="A18" s="515">
        <f t="shared" si="0"/>
        <v>13</v>
      </c>
      <c r="B18" s="339" t="s">
        <v>1223</v>
      </c>
      <c r="C18" s="261">
        <v>6</v>
      </c>
      <c r="D18" s="77">
        <v>1</v>
      </c>
      <c r="E18" s="991">
        <f>ROUND((VLOOKUP(B18,'2.2'!$A$6:$C$45,3,FALSE)/1000)/SUM(C18,D18),0)</f>
        <v>44</v>
      </c>
    </row>
    <row r="19" spans="1:5" ht="19.5" customHeight="1">
      <c r="A19" s="515">
        <f t="shared" si="0"/>
        <v>14</v>
      </c>
      <c r="B19" s="339" t="s">
        <v>1224</v>
      </c>
      <c r="C19" s="261">
        <v>3</v>
      </c>
      <c r="D19" s="77">
        <v>2</v>
      </c>
      <c r="E19" s="991">
        <f>ROUND((VLOOKUP(B19,'2.2'!$A$6:$C$45,3,FALSE)/1000)/SUM(C19,D19),0)</f>
        <v>51</v>
      </c>
    </row>
    <row r="20" spans="1:5" ht="19.5" customHeight="1">
      <c r="A20" s="515">
        <f t="shared" si="0"/>
        <v>15</v>
      </c>
      <c r="B20" s="339" t="s">
        <v>1197</v>
      </c>
      <c r="C20" s="261">
        <v>4</v>
      </c>
      <c r="D20" s="77">
        <v>4</v>
      </c>
      <c r="E20" s="991">
        <f>ROUND((VLOOKUP(B20,'2.2'!$A$6:$C$45,3,FALSE)/1000)/SUM(C20,D20),0)</f>
        <v>42</v>
      </c>
    </row>
    <row r="21" spans="1:5" ht="19.5" customHeight="1">
      <c r="A21" s="515">
        <f t="shared" si="0"/>
        <v>16</v>
      </c>
      <c r="B21" s="339" t="s">
        <v>1198</v>
      </c>
      <c r="C21" s="261">
        <v>2</v>
      </c>
      <c r="D21" s="77">
        <v>4</v>
      </c>
      <c r="E21" s="991">
        <f>ROUND((VLOOKUP(B21,'2.2'!$A$6:$C$45,3,FALSE)/1000)/SUM(C21,D21),0)</f>
        <v>41</v>
      </c>
    </row>
    <row r="22" spans="1:5" ht="19.5" customHeight="1">
      <c r="A22" s="515">
        <f t="shared" si="0"/>
        <v>17</v>
      </c>
      <c r="B22" s="339" t="s">
        <v>1225</v>
      </c>
      <c r="C22" s="261">
        <v>9</v>
      </c>
      <c r="D22" s="77">
        <v>1</v>
      </c>
      <c r="E22" s="991">
        <f>ROUND((VLOOKUP(B22,'2.2'!$A$6:$C$45,3,FALSE)/1000)/SUM(C22,D22),0)</f>
        <v>27</v>
      </c>
    </row>
    <row r="23" spans="1:5" ht="19.5" customHeight="1">
      <c r="A23" s="515">
        <f t="shared" si="0"/>
        <v>18</v>
      </c>
      <c r="B23" s="339" t="s">
        <v>1226</v>
      </c>
      <c r="C23" s="261">
        <v>7</v>
      </c>
      <c r="D23" s="77">
        <v>4</v>
      </c>
      <c r="E23" s="991">
        <f>ROUND((VLOOKUP(B23,'2.2'!$A$6:$C$45,3,FALSE)/1000)/SUM(C23,D23),0)</f>
        <v>28</v>
      </c>
    </row>
    <row r="24" spans="1:5" ht="19.5" customHeight="1">
      <c r="A24" s="515">
        <f t="shared" si="0"/>
        <v>19</v>
      </c>
      <c r="B24" s="339" t="s">
        <v>837</v>
      </c>
      <c r="C24" s="261">
        <v>6</v>
      </c>
      <c r="D24" s="77">
        <v>1</v>
      </c>
      <c r="E24" s="991">
        <f>ROUND((VLOOKUP(B24,'2.2'!$A$6:$C$45,3,FALSE)/1000)/SUM(C24,D24),0)</f>
        <v>31</v>
      </c>
    </row>
    <row r="25" spans="1:5" ht="19.5" customHeight="1">
      <c r="A25" s="515">
        <f t="shared" si="0"/>
        <v>20</v>
      </c>
      <c r="B25" s="339" t="s">
        <v>1203</v>
      </c>
      <c r="C25" s="261">
        <v>8</v>
      </c>
      <c r="D25" s="1581" t="s">
        <v>1229</v>
      </c>
      <c r="E25" s="991">
        <f>ROUND((VLOOKUP(B25,'2.2'!$A$6:$C$45,3,FALSE)/1000)/SUM(C25,D25),0)</f>
        <v>35</v>
      </c>
    </row>
    <row r="26" spans="1:5" ht="19.5" customHeight="1">
      <c r="A26" s="515">
        <f t="shared" si="0"/>
        <v>21</v>
      </c>
      <c r="B26" s="339" t="s">
        <v>1204</v>
      </c>
      <c r="C26" s="261">
        <v>5</v>
      </c>
      <c r="D26" s="77">
        <v>3</v>
      </c>
      <c r="E26" s="991">
        <f>ROUND((VLOOKUP(B26,'2.2'!$A$6:$C$45,3,FALSE)/1000)/SUM(C26,D26),0)</f>
        <v>31</v>
      </c>
    </row>
    <row r="27" spans="1:5" ht="19.5" customHeight="1">
      <c r="A27" s="515">
        <f t="shared" si="0"/>
        <v>22</v>
      </c>
      <c r="B27" s="339" t="s">
        <v>1744</v>
      </c>
      <c r="C27" s="261">
        <v>11</v>
      </c>
      <c r="D27" s="1581" t="s">
        <v>1229</v>
      </c>
      <c r="E27" s="991">
        <f>ROUND((VLOOKUP(B27,'2.2'!$A$6:$C$45,3,FALSE)/1000)/SUM(C27,D27),0)</f>
        <v>14</v>
      </c>
    </row>
    <row r="28" spans="1:5" ht="19.5" customHeight="1">
      <c r="A28" s="515">
        <f t="shared" si="0"/>
        <v>23</v>
      </c>
      <c r="B28" s="339" t="s">
        <v>1745</v>
      </c>
      <c r="C28" s="261">
        <v>10</v>
      </c>
      <c r="D28" s="702">
        <v>1</v>
      </c>
      <c r="E28" s="991">
        <f>ROUND((VLOOKUP(B28,'2.2'!$A$6:$C$45,3,FALSE)/1000)/SUM(C28,D28),0)</f>
        <v>17</v>
      </c>
    </row>
    <row r="29" spans="1:5" ht="19.5" customHeight="1">
      <c r="A29" s="515">
        <f t="shared" si="0"/>
        <v>24</v>
      </c>
      <c r="B29" s="339" t="s">
        <v>1227</v>
      </c>
      <c r="C29" s="261">
        <v>7</v>
      </c>
      <c r="D29" s="1581" t="s">
        <v>1229</v>
      </c>
      <c r="E29" s="991">
        <f>ROUND((VLOOKUP(B29,'2.2'!$A$6:$C$45,3,FALSE)/1000)/SUM(C29,D29),0)</f>
        <v>28</v>
      </c>
    </row>
    <row r="30" spans="1:5" ht="19.5" customHeight="1">
      <c r="A30" s="515">
        <f t="shared" si="0"/>
        <v>25</v>
      </c>
      <c r="B30" s="339" t="s">
        <v>1228</v>
      </c>
      <c r="C30" s="261">
        <v>7</v>
      </c>
      <c r="D30" s="1581" t="s">
        <v>1229</v>
      </c>
      <c r="E30" s="991">
        <f>ROUND((VLOOKUP(B30,'2.2'!$A$6:$C$45,3,FALSE)/1000)/SUM(C30,D30),0)</f>
        <v>32</v>
      </c>
    </row>
    <row r="31" spans="1:5" ht="19.5" customHeight="1">
      <c r="A31" s="515">
        <f t="shared" si="0"/>
        <v>26</v>
      </c>
      <c r="B31" s="339" t="s">
        <v>1205</v>
      </c>
      <c r="C31" s="261">
        <v>8</v>
      </c>
      <c r="D31" s="77">
        <v>3</v>
      </c>
      <c r="E31" s="991">
        <f>ROUND((VLOOKUP(B31,'2.2'!$A$6:$C$45,3,FALSE)/1000)/SUM(C31,D31),0)</f>
        <v>26</v>
      </c>
    </row>
    <row r="32" spans="1:5" ht="19.5" customHeight="1">
      <c r="A32" s="515">
        <f t="shared" si="0"/>
        <v>27</v>
      </c>
      <c r="B32" s="339" t="s">
        <v>1206</v>
      </c>
      <c r="C32" s="261">
        <v>5</v>
      </c>
      <c r="D32" s="77">
        <v>2</v>
      </c>
      <c r="E32" s="991">
        <f>ROUND((VLOOKUP(B32,'2.2'!$A$6:$C$45,3,FALSE)/1000)/SUM(C32,D32),0)</f>
        <v>26</v>
      </c>
    </row>
    <row r="33" spans="1:5" ht="19.5" customHeight="1">
      <c r="A33" s="515">
        <f t="shared" si="0"/>
        <v>28</v>
      </c>
      <c r="B33" s="339" t="s">
        <v>1207</v>
      </c>
      <c r="C33" s="261">
        <v>3</v>
      </c>
      <c r="D33" s="77">
        <v>3</v>
      </c>
      <c r="E33" s="991">
        <f>ROUND((VLOOKUP(B33,'2.2'!$A$6:$C$45,3,FALSE)/1000)/SUM(C33,D33),0)</f>
        <v>35</v>
      </c>
    </row>
    <row r="34" spans="1:5" ht="19.5" customHeight="1">
      <c r="A34" s="517">
        <f t="shared" si="0"/>
        <v>29</v>
      </c>
      <c r="B34" s="243" t="s">
        <v>1208</v>
      </c>
      <c r="C34" s="74">
        <v>6</v>
      </c>
      <c r="D34" s="78">
        <v>6</v>
      </c>
      <c r="E34" s="991">
        <f>ROUND((VLOOKUP(B34,'2.2'!$A$6:$C$45,3,FALSE)/1000)/SUM(C34,D34),0)</f>
        <v>28</v>
      </c>
    </row>
    <row r="35" spans="1:5" ht="14.25" customHeight="1">
      <c r="A35" s="1540" t="s">
        <v>948</v>
      </c>
      <c r="C35" s="107"/>
      <c r="E35" s="1136" t="s">
        <v>1110</v>
      </c>
    </row>
    <row r="44" spans="1:5">
      <c r="A44" s="1"/>
      <c r="B44" s="1"/>
      <c r="C44" s="1"/>
      <c r="D44" s="1"/>
      <c r="E44" s="1"/>
    </row>
  </sheetData>
  <mergeCells count="4">
    <mergeCell ref="A1:E1"/>
    <mergeCell ref="B3:B4"/>
    <mergeCell ref="A2:E2"/>
    <mergeCell ref="C3:D3"/>
  </mergeCells>
  <phoneticPr fontId="0" type="noConversion"/>
  <printOptions horizontalCentered="1"/>
  <pageMargins left="0.1" right="0.1" top="0.75" bottom="0.1" header="0.77" footer="0.1"/>
  <pageSetup paperSize="9" orientation="portrait" blackAndWhite="1" r:id="rId1"/>
  <headerFooter alignWithMargins="0"/>
</worksheet>
</file>

<file path=xl/worksheets/sheet84.xml><?xml version="1.0" encoding="utf-8"?>
<worksheet xmlns="http://schemas.openxmlformats.org/spreadsheetml/2006/main" xmlns:r="http://schemas.openxmlformats.org/officeDocument/2006/relationships">
  <dimension ref="A1:G34"/>
  <sheetViews>
    <sheetView topLeftCell="A17" workbookViewId="0">
      <selection activeCell="O25" sqref="O25"/>
    </sheetView>
  </sheetViews>
  <sheetFormatPr defaultRowHeight="12.75"/>
  <cols>
    <col min="1" max="1" width="5" style="6" customWidth="1"/>
    <col min="2" max="2" width="23.85546875" style="6" customWidth="1"/>
    <col min="3" max="3" width="19.28515625" style="6" customWidth="1"/>
    <col min="4" max="4" width="15.85546875" style="6" customWidth="1"/>
    <col min="5" max="5" width="20.42578125" style="6" customWidth="1"/>
    <col min="6" max="16384" width="9.140625" style="6"/>
  </cols>
  <sheetData>
    <row r="1" spans="1:7" ht="15.75" customHeight="1">
      <c r="A1" s="1708" t="s">
        <v>833</v>
      </c>
      <c r="B1" s="1708"/>
      <c r="C1" s="1708"/>
      <c r="D1" s="1708"/>
      <c r="E1" s="1708"/>
    </row>
    <row r="2" spans="1:7" ht="23.25" customHeight="1">
      <c r="A2" s="1720" t="str">
        <f>CONCATENATE("Co-operative Societies in the Blocks of ",District!$A$1," for the year ",District!F3)</f>
        <v>Co-operative Societies in the Blocks of South 24-Parganas for the year 2013-14</v>
      </c>
      <c r="B2" s="1720"/>
      <c r="C2" s="1720"/>
      <c r="D2" s="1720"/>
      <c r="E2" s="1720"/>
      <c r="F2" s="43"/>
      <c r="G2" s="43"/>
    </row>
    <row r="3" spans="1:7" ht="28.5" customHeight="1">
      <c r="A3" s="822" t="s">
        <v>323</v>
      </c>
      <c r="B3" s="312" t="s">
        <v>235</v>
      </c>
      <c r="C3" s="646" t="s">
        <v>1233</v>
      </c>
      <c r="D3" s="160" t="s">
        <v>469</v>
      </c>
      <c r="E3" s="647" t="s">
        <v>398</v>
      </c>
    </row>
    <row r="4" spans="1:7" ht="16.5" customHeight="1">
      <c r="A4" s="199" t="s">
        <v>928</v>
      </c>
      <c r="B4" s="199" t="s">
        <v>929</v>
      </c>
      <c r="C4" s="199" t="s">
        <v>930</v>
      </c>
      <c r="D4" s="199" t="s">
        <v>931</v>
      </c>
      <c r="E4" s="120" t="s">
        <v>932</v>
      </c>
    </row>
    <row r="5" spans="1:7" ht="19.5" customHeight="1">
      <c r="A5" s="515">
        <v>1</v>
      </c>
      <c r="B5" s="339" t="s">
        <v>1737</v>
      </c>
      <c r="C5" s="370">
        <v>6</v>
      </c>
      <c r="D5" s="537">
        <v>6463</v>
      </c>
      <c r="E5" s="374">
        <v>21835</v>
      </c>
    </row>
    <row r="6" spans="1:7" ht="19.5" customHeight="1">
      <c r="A6" s="515">
        <f t="shared" ref="A6:A33" si="0">A5+1</f>
        <v>2</v>
      </c>
      <c r="B6" s="339" t="s">
        <v>1214</v>
      </c>
      <c r="C6" s="370">
        <v>19</v>
      </c>
      <c r="D6" s="392">
        <v>12873</v>
      </c>
      <c r="E6" s="374">
        <v>7758</v>
      </c>
    </row>
    <row r="7" spans="1:7" ht="19.5" customHeight="1">
      <c r="A7" s="515">
        <f t="shared" si="0"/>
        <v>3</v>
      </c>
      <c r="B7" s="339" t="s">
        <v>1211</v>
      </c>
      <c r="C7" s="370">
        <v>22</v>
      </c>
      <c r="D7" s="392">
        <v>11724</v>
      </c>
      <c r="E7" s="374">
        <v>10235</v>
      </c>
    </row>
    <row r="8" spans="1:7" ht="19.5" customHeight="1">
      <c r="A8" s="515">
        <f t="shared" si="0"/>
        <v>4</v>
      </c>
      <c r="B8" s="339" t="s">
        <v>1212</v>
      </c>
      <c r="C8" s="370">
        <v>16</v>
      </c>
      <c r="D8" s="392">
        <v>9285</v>
      </c>
      <c r="E8" s="374">
        <v>97519</v>
      </c>
    </row>
    <row r="9" spans="1:7" ht="19.5" customHeight="1">
      <c r="A9" s="515">
        <f t="shared" si="0"/>
        <v>5</v>
      </c>
      <c r="B9" s="339" t="s">
        <v>1213</v>
      </c>
      <c r="C9" s="370">
        <v>7</v>
      </c>
      <c r="D9" s="392">
        <v>11342</v>
      </c>
      <c r="E9" s="374">
        <v>123549</v>
      </c>
    </row>
    <row r="10" spans="1:7" ht="19.5" customHeight="1">
      <c r="A10" s="515">
        <f t="shared" si="0"/>
        <v>6</v>
      </c>
      <c r="B10" s="339" t="s">
        <v>1218</v>
      </c>
      <c r="C10" s="370">
        <v>53</v>
      </c>
      <c r="D10" s="392">
        <v>75423</v>
      </c>
      <c r="E10" s="374">
        <v>199645</v>
      </c>
    </row>
    <row r="11" spans="1:7" ht="19.5" customHeight="1">
      <c r="A11" s="515">
        <f t="shared" si="0"/>
        <v>7</v>
      </c>
      <c r="B11" s="339" t="s">
        <v>759</v>
      </c>
      <c r="C11" s="370">
        <v>35</v>
      </c>
      <c r="D11" s="392">
        <v>13845</v>
      </c>
      <c r="E11" s="374">
        <v>167842</v>
      </c>
    </row>
    <row r="12" spans="1:7" ht="19.5" customHeight="1">
      <c r="A12" s="515">
        <f t="shared" si="0"/>
        <v>8</v>
      </c>
      <c r="B12" s="339" t="s">
        <v>760</v>
      </c>
      <c r="C12" s="370">
        <v>21</v>
      </c>
      <c r="D12" s="392">
        <v>10612</v>
      </c>
      <c r="E12" s="374">
        <v>9924</v>
      </c>
    </row>
    <row r="13" spans="1:7" ht="19.5" customHeight="1">
      <c r="A13" s="515">
        <f t="shared" si="0"/>
        <v>9</v>
      </c>
      <c r="B13" s="339" t="s">
        <v>1194</v>
      </c>
      <c r="C13" s="370">
        <v>22</v>
      </c>
      <c r="D13" s="392">
        <v>10865</v>
      </c>
      <c r="E13" s="374">
        <v>20534</v>
      </c>
    </row>
    <row r="14" spans="1:7" ht="19.5" customHeight="1">
      <c r="A14" s="515">
        <f t="shared" si="0"/>
        <v>10</v>
      </c>
      <c r="B14" s="339" t="s">
        <v>1221</v>
      </c>
      <c r="C14" s="370">
        <v>61</v>
      </c>
      <c r="D14" s="392">
        <v>11645</v>
      </c>
      <c r="E14" s="374">
        <v>10875</v>
      </c>
    </row>
    <row r="15" spans="1:7" ht="19.5" customHeight="1">
      <c r="A15" s="515">
        <f t="shared" si="0"/>
        <v>11</v>
      </c>
      <c r="B15" s="339" t="s">
        <v>761</v>
      </c>
      <c r="C15" s="370">
        <v>35</v>
      </c>
      <c r="D15" s="392">
        <v>10865</v>
      </c>
      <c r="E15" s="374">
        <v>9467</v>
      </c>
    </row>
    <row r="16" spans="1:7" ht="19.5" customHeight="1">
      <c r="A16" s="515">
        <f t="shared" si="0"/>
        <v>12</v>
      </c>
      <c r="B16" s="339" t="s">
        <v>762</v>
      </c>
      <c r="C16" s="370">
        <v>19</v>
      </c>
      <c r="D16" s="392">
        <v>10153</v>
      </c>
      <c r="E16" s="374">
        <v>10423</v>
      </c>
    </row>
    <row r="17" spans="1:5" ht="19.5" customHeight="1">
      <c r="A17" s="515">
        <f t="shared" si="0"/>
        <v>13</v>
      </c>
      <c r="B17" s="339" t="s">
        <v>1223</v>
      </c>
      <c r="C17" s="370">
        <v>40</v>
      </c>
      <c r="D17" s="392">
        <v>16234</v>
      </c>
      <c r="E17" s="374">
        <v>28643</v>
      </c>
    </row>
    <row r="18" spans="1:5" ht="19.5" customHeight="1">
      <c r="A18" s="515">
        <f t="shared" si="0"/>
        <v>14</v>
      </c>
      <c r="B18" s="339" t="s">
        <v>1224</v>
      </c>
      <c r="C18" s="370">
        <v>32</v>
      </c>
      <c r="D18" s="392">
        <v>50132</v>
      </c>
      <c r="E18" s="374">
        <v>5963</v>
      </c>
    </row>
    <row r="19" spans="1:5" ht="19.5" customHeight="1">
      <c r="A19" s="515">
        <f t="shared" si="0"/>
        <v>15</v>
      </c>
      <c r="B19" s="339" t="s">
        <v>1197</v>
      </c>
      <c r="C19" s="370">
        <v>35</v>
      </c>
      <c r="D19" s="392">
        <v>16489</v>
      </c>
      <c r="E19" s="374">
        <v>136921</v>
      </c>
    </row>
    <row r="20" spans="1:5" ht="19.5" customHeight="1">
      <c r="A20" s="515">
        <f t="shared" si="0"/>
        <v>16</v>
      </c>
      <c r="B20" s="339" t="s">
        <v>1198</v>
      </c>
      <c r="C20" s="370">
        <v>36</v>
      </c>
      <c r="D20" s="392">
        <v>28534</v>
      </c>
      <c r="E20" s="374">
        <v>139523</v>
      </c>
    </row>
    <row r="21" spans="1:5" ht="19.5" customHeight="1">
      <c r="A21" s="515">
        <f t="shared" si="0"/>
        <v>17</v>
      </c>
      <c r="B21" s="339" t="s">
        <v>1225</v>
      </c>
      <c r="C21" s="370">
        <v>33</v>
      </c>
      <c r="D21" s="392">
        <v>16243</v>
      </c>
      <c r="E21" s="374">
        <v>8561</v>
      </c>
    </row>
    <row r="22" spans="1:5" ht="19.5" customHeight="1">
      <c r="A22" s="515">
        <f t="shared" si="0"/>
        <v>18</v>
      </c>
      <c r="B22" s="339" t="s">
        <v>1226</v>
      </c>
      <c r="C22" s="370">
        <v>25</v>
      </c>
      <c r="D22" s="392">
        <v>17243</v>
      </c>
      <c r="E22" s="374">
        <v>12734</v>
      </c>
    </row>
    <row r="23" spans="1:5" ht="19.5" customHeight="1">
      <c r="A23" s="515">
        <f t="shared" si="0"/>
        <v>19</v>
      </c>
      <c r="B23" s="339" t="s">
        <v>837</v>
      </c>
      <c r="C23" s="370">
        <v>36</v>
      </c>
      <c r="D23" s="392">
        <v>20764</v>
      </c>
      <c r="E23" s="374">
        <v>20134</v>
      </c>
    </row>
    <row r="24" spans="1:5" ht="19.5" customHeight="1">
      <c r="A24" s="515">
        <f t="shared" si="0"/>
        <v>20</v>
      </c>
      <c r="B24" s="339" t="s">
        <v>1203</v>
      </c>
      <c r="C24" s="370">
        <v>50</v>
      </c>
      <c r="D24" s="392">
        <v>19845</v>
      </c>
      <c r="E24" s="374">
        <v>11157</v>
      </c>
    </row>
    <row r="25" spans="1:5" ht="19.5" customHeight="1">
      <c r="A25" s="515">
        <f t="shared" si="0"/>
        <v>21</v>
      </c>
      <c r="B25" s="339" t="s">
        <v>1204</v>
      </c>
      <c r="C25" s="370">
        <v>30</v>
      </c>
      <c r="D25" s="392">
        <v>15234</v>
      </c>
      <c r="E25" s="374">
        <v>8965</v>
      </c>
    </row>
    <row r="26" spans="1:5" ht="19.5" customHeight="1">
      <c r="A26" s="515">
        <f t="shared" si="0"/>
        <v>22</v>
      </c>
      <c r="B26" s="339" t="s">
        <v>1744</v>
      </c>
      <c r="C26" s="370">
        <v>46</v>
      </c>
      <c r="D26" s="392">
        <v>20745</v>
      </c>
      <c r="E26" s="374">
        <v>10245</v>
      </c>
    </row>
    <row r="27" spans="1:5" ht="19.5" customHeight="1">
      <c r="A27" s="515">
        <f t="shared" si="0"/>
        <v>23</v>
      </c>
      <c r="B27" s="339" t="s">
        <v>1745</v>
      </c>
      <c r="C27" s="370">
        <v>33</v>
      </c>
      <c r="D27" s="392">
        <v>13945</v>
      </c>
      <c r="E27" s="374">
        <v>24163</v>
      </c>
    </row>
    <row r="28" spans="1:5" ht="19.5" customHeight="1">
      <c r="A28" s="515">
        <f t="shared" si="0"/>
        <v>24</v>
      </c>
      <c r="B28" s="339" t="s">
        <v>1227</v>
      </c>
      <c r="C28" s="370">
        <v>35</v>
      </c>
      <c r="D28" s="392">
        <v>17642</v>
      </c>
      <c r="E28" s="374">
        <v>28645</v>
      </c>
    </row>
    <row r="29" spans="1:5" ht="19.5" customHeight="1">
      <c r="A29" s="515">
        <f t="shared" si="0"/>
        <v>25</v>
      </c>
      <c r="B29" s="339" t="s">
        <v>1228</v>
      </c>
      <c r="C29" s="370">
        <v>41</v>
      </c>
      <c r="D29" s="392">
        <v>17943</v>
      </c>
      <c r="E29" s="374">
        <v>180345</v>
      </c>
    </row>
    <row r="30" spans="1:5" ht="19.5" customHeight="1">
      <c r="A30" s="515">
        <f t="shared" si="0"/>
        <v>26</v>
      </c>
      <c r="B30" s="339" t="s">
        <v>1205</v>
      </c>
      <c r="C30" s="370">
        <v>50</v>
      </c>
      <c r="D30" s="392">
        <v>18645</v>
      </c>
      <c r="E30" s="374">
        <v>198694</v>
      </c>
    </row>
    <row r="31" spans="1:5" ht="19.5" customHeight="1">
      <c r="A31" s="515">
        <f t="shared" si="0"/>
        <v>27</v>
      </c>
      <c r="B31" s="339" t="s">
        <v>1206</v>
      </c>
      <c r="C31" s="370">
        <v>39</v>
      </c>
      <c r="D31" s="392">
        <v>19246</v>
      </c>
      <c r="E31" s="374">
        <v>200621</v>
      </c>
    </row>
    <row r="32" spans="1:5" ht="19.5" customHeight="1">
      <c r="A32" s="515">
        <f t="shared" si="0"/>
        <v>28</v>
      </c>
      <c r="B32" s="339" t="s">
        <v>1207</v>
      </c>
      <c r="C32" s="370">
        <v>54</v>
      </c>
      <c r="D32" s="392">
        <v>30546</v>
      </c>
      <c r="E32" s="374">
        <v>60213</v>
      </c>
    </row>
    <row r="33" spans="1:5" ht="19.5" customHeight="1">
      <c r="A33" s="517">
        <f t="shared" si="0"/>
        <v>29</v>
      </c>
      <c r="B33" s="243" t="s">
        <v>1208</v>
      </c>
      <c r="C33" s="379">
        <v>48</v>
      </c>
      <c r="D33" s="443">
        <v>32813</v>
      </c>
      <c r="E33" s="444">
        <v>200751</v>
      </c>
    </row>
    <row r="34" spans="1:5" ht="15.95" customHeight="1">
      <c r="B34" s="98"/>
      <c r="D34" s="98"/>
      <c r="E34" s="1008" t="s">
        <v>1420</v>
      </c>
    </row>
  </sheetData>
  <mergeCells count="2">
    <mergeCell ref="A2:E2"/>
    <mergeCell ref="A1:E1"/>
  </mergeCells>
  <phoneticPr fontId="0" type="noConversion"/>
  <printOptions horizontalCentered="1"/>
  <pageMargins left="0.1" right="0.1" top="0.99" bottom="0.1" header="0.44" footer="0.1"/>
  <pageSetup paperSize="9" orientation="portrait" blackAndWhite="1" r:id="rId1"/>
  <headerFooter alignWithMargins="0"/>
</worksheet>
</file>

<file path=xl/worksheets/sheet85.xml><?xml version="1.0" encoding="utf-8"?>
<worksheet xmlns="http://schemas.openxmlformats.org/spreadsheetml/2006/main" xmlns:r="http://schemas.openxmlformats.org/officeDocument/2006/relationships">
  <dimension ref="A1:K41"/>
  <sheetViews>
    <sheetView topLeftCell="A12" workbookViewId="0">
      <selection activeCell="O25" sqref="O25"/>
    </sheetView>
  </sheetViews>
  <sheetFormatPr defaultRowHeight="12.75"/>
  <cols>
    <col min="1" max="1" width="5.85546875" customWidth="1"/>
    <col min="2" max="2" width="22" customWidth="1"/>
    <col min="3" max="3" width="12.42578125" customWidth="1"/>
    <col min="4" max="4" width="13.140625" customWidth="1"/>
    <col min="5" max="5" width="11.85546875" customWidth="1"/>
    <col min="6" max="6" width="10.85546875" customWidth="1"/>
    <col min="7" max="8" width="10.5703125" customWidth="1"/>
    <col min="9" max="9" width="10.7109375" customWidth="1"/>
    <col min="10" max="10" width="11.42578125" customWidth="1"/>
  </cols>
  <sheetData>
    <row r="1" spans="1:11" ht="12" customHeight="1">
      <c r="A1" s="1739" t="s">
        <v>834</v>
      </c>
      <c r="B1" s="1739"/>
      <c r="C1" s="1739"/>
      <c r="D1" s="1739"/>
      <c r="E1" s="1739"/>
      <c r="F1" s="1739"/>
      <c r="G1" s="1739"/>
      <c r="H1" s="1739"/>
      <c r="I1" s="1739"/>
      <c r="J1" s="1739"/>
    </row>
    <row r="2" spans="1:11" ht="17.25" customHeight="1">
      <c r="A2" s="1766" t="str">
        <f>CONCATENATE("Length of Roads maintained by different agencies in the Blocks of ",District!$A$1," for the year ",District!F3)</f>
        <v>Length of Roads maintained by different agencies in the Blocks of South 24-Parganas for the year 2013-14</v>
      </c>
      <c r="B2" s="1766"/>
      <c r="C2" s="1766"/>
      <c r="D2" s="1766"/>
      <c r="E2" s="1766"/>
      <c r="F2" s="1766"/>
      <c r="G2" s="1766"/>
      <c r="H2" s="1766"/>
      <c r="I2" s="1766"/>
      <c r="J2" s="1766"/>
    </row>
    <row r="3" spans="1:11" ht="12.75" customHeight="1">
      <c r="B3" s="93"/>
      <c r="C3" s="3"/>
      <c r="D3" s="3"/>
      <c r="E3" s="3"/>
      <c r="F3" s="3"/>
      <c r="G3" s="3"/>
      <c r="J3" s="95" t="s">
        <v>743</v>
      </c>
    </row>
    <row r="4" spans="1:11" ht="26.25" customHeight="1">
      <c r="A4" s="2255" t="s">
        <v>323</v>
      </c>
      <c r="B4" s="1721" t="s">
        <v>235</v>
      </c>
      <c r="C4" s="1728" t="s">
        <v>23</v>
      </c>
      <c r="D4" s="1729"/>
      <c r="E4" s="1728" t="s">
        <v>26</v>
      </c>
      <c r="F4" s="1729"/>
      <c r="G4" s="2286" t="s">
        <v>324</v>
      </c>
      <c r="H4" s="2201"/>
      <c r="I4" s="2286" t="s">
        <v>1026</v>
      </c>
      <c r="J4" s="2201"/>
      <c r="K4" s="734"/>
    </row>
    <row r="5" spans="1:11" ht="14.25" customHeight="1">
      <c r="A5" s="2285"/>
      <c r="B5" s="1722"/>
      <c r="C5" s="1585" t="s">
        <v>915</v>
      </c>
      <c r="D5" s="211" t="s">
        <v>271</v>
      </c>
      <c r="E5" s="1585" t="s">
        <v>915</v>
      </c>
      <c r="F5" s="211" t="s">
        <v>271</v>
      </c>
      <c r="G5" s="1585" t="s">
        <v>915</v>
      </c>
      <c r="H5" s="211" t="s">
        <v>271</v>
      </c>
      <c r="I5" s="1032" t="s">
        <v>915</v>
      </c>
      <c r="J5" s="1600" t="s">
        <v>271</v>
      </c>
      <c r="K5" s="701"/>
    </row>
    <row r="6" spans="1:11" ht="13.5" customHeight="1">
      <c r="A6" s="199" t="s">
        <v>928</v>
      </c>
      <c r="B6" s="1586" t="s">
        <v>929</v>
      </c>
      <c r="C6" s="1584" t="s">
        <v>930</v>
      </c>
      <c r="D6" s="199" t="s">
        <v>931</v>
      </c>
      <c r="E6" s="1584" t="s">
        <v>932</v>
      </c>
      <c r="F6" s="199" t="s">
        <v>933</v>
      </c>
      <c r="G6" s="1584" t="s">
        <v>934</v>
      </c>
      <c r="H6" s="199" t="s">
        <v>959</v>
      </c>
      <c r="I6" s="199" t="s">
        <v>960</v>
      </c>
      <c r="J6" s="199" t="s">
        <v>961</v>
      </c>
      <c r="K6" s="592"/>
    </row>
    <row r="7" spans="1:11" ht="13.5" customHeight="1">
      <c r="A7" s="1595">
        <v>1</v>
      </c>
      <c r="B7" s="1129" t="s">
        <v>1737</v>
      </c>
      <c r="C7" s="554" t="s">
        <v>857</v>
      </c>
      <c r="D7" s="371" t="s">
        <v>857</v>
      </c>
      <c r="E7" s="1597">
        <v>287.73</v>
      </c>
      <c r="F7" s="279">
        <v>84.17</v>
      </c>
      <c r="G7" s="554">
        <v>212</v>
      </c>
      <c r="H7" s="371">
        <v>130.15</v>
      </c>
      <c r="I7" s="279">
        <v>5.94</v>
      </c>
      <c r="J7" s="1605" t="s">
        <v>1229</v>
      </c>
      <c r="K7" s="7"/>
    </row>
    <row r="8" spans="1:11" ht="13.5" customHeight="1">
      <c r="A8" s="1595">
        <f t="shared" ref="A8:A35" si="0">A7+1</f>
        <v>2</v>
      </c>
      <c r="B8" s="629" t="s">
        <v>1214</v>
      </c>
      <c r="C8" s="554" t="s">
        <v>857</v>
      </c>
      <c r="D8" s="371" t="s">
        <v>857</v>
      </c>
      <c r="E8" s="1597">
        <v>313.64999999999998</v>
      </c>
      <c r="F8" s="279">
        <v>412.05</v>
      </c>
      <c r="G8" s="554">
        <v>97.23</v>
      </c>
      <c r="H8" s="371">
        <v>143.77000000000001</v>
      </c>
      <c r="I8" s="279">
        <v>9.5</v>
      </c>
      <c r="J8" s="1605" t="s">
        <v>1229</v>
      </c>
      <c r="K8" s="7"/>
    </row>
    <row r="9" spans="1:11" ht="13.5" customHeight="1">
      <c r="A9" s="1595">
        <f t="shared" si="0"/>
        <v>3</v>
      </c>
      <c r="B9" s="629" t="s">
        <v>1211</v>
      </c>
      <c r="C9" s="554" t="s">
        <v>857</v>
      </c>
      <c r="D9" s="371" t="s">
        <v>857</v>
      </c>
      <c r="E9" s="1597">
        <v>182.49</v>
      </c>
      <c r="F9" s="279">
        <v>304.45</v>
      </c>
      <c r="G9" s="554">
        <v>291.08</v>
      </c>
      <c r="H9" s="371">
        <v>65.25</v>
      </c>
      <c r="I9" s="1130">
        <v>5.5</v>
      </c>
      <c r="J9" s="1605" t="s">
        <v>1229</v>
      </c>
      <c r="K9" s="7"/>
    </row>
    <row r="10" spans="1:11" ht="13.5" customHeight="1">
      <c r="A10" s="1595">
        <f t="shared" si="0"/>
        <v>4</v>
      </c>
      <c r="B10" s="629" t="s">
        <v>1212</v>
      </c>
      <c r="C10" s="554" t="s">
        <v>857</v>
      </c>
      <c r="D10" s="371" t="s">
        <v>857</v>
      </c>
      <c r="E10" s="1597">
        <v>251.8</v>
      </c>
      <c r="F10" s="279">
        <v>121.35</v>
      </c>
      <c r="G10" s="554">
        <v>294</v>
      </c>
      <c r="H10" s="371">
        <v>3</v>
      </c>
      <c r="I10" s="279" t="s">
        <v>1229</v>
      </c>
      <c r="J10" s="1605" t="s">
        <v>1229</v>
      </c>
      <c r="K10" s="7"/>
    </row>
    <row r="11" spans="1:11" ht="13.5" customHeight="1">
      <c r="A11" s="1595">
        <f t="shared" si="0"/>
        <v>5</v>
      </c>
      <c r="B11" s="629" t="s">
        <v>1213</v>
      </c>
      <c r="C11" s="554" t="s">
        <v>857</v>
      </c>
      <c r="D11" s="371" t="s">
        <v>857</v>
      </c>
      <c r="E11" s="1597">
        <v>202.8</v>
      </c>
      <c r="F11" s="279">
        <v>327.07</v>
      </c>
      <c r="G11" s="554">
        <v>372</v>
      </c>
      <c r="H11" s="371">
        <v>226</v>
      </c>
      <c r="I11" s="1130">
        <v>4.4000000000000004</v>
      </c>
      <c r="J11" s="1605" t="s">
        <v>1229</v>
      </c>
      <c r="K11" s="7"/>
    </row>
    <row r="12" spans="1:11" ht="13.5" customHeight="1">
      <c r="A12" s="1595">
        <f t="shared" si="0"/>
        <v>6</v>
      </c>
      <c r="B12" s="629" t="s">
        <v>1218</v>
      </c>
      <c r="C12" s="554" t="s">
        <v>857</v>
      </c>
      <c r="D12" s="371" t="s">
        <v>857</v>
      </c>
      <c r="E12" s="1597">
        <v>325.95999999999998</v>
      </c>
      <c r="F12" s="279">
        <v>170.79</v>
      </c>
      <c r="G12" s="554">
        <v>184.65</v>
      </c>
      <c r="H12" s="371">
        <v>102.22</v>
      </c>
      <c r="I12" s="279">
        <v>24.75</v>
      </c>
      <c r="J12" s="1605" t="s">
        <v>1229</v>
      </c>
      <c r="K12" s="7"/>
    </row>
    <row r="13" spans="1:11" ht="13.5" customHeight="1">
      <c r="A13" s="1595">
        <f t="shared" si="0"/>
        <v>7</v>
      </c>
      <c r="B13" s="629" t="s">
        <v>759</v>
      </c>
      <c r="C13" s="554" t="s">
        <v>857</v>
      </c>
      <c r="D13" s="371" t="s">
        <v>857</v>
      </c>
      <c r="E13" s="1597">
        <v>222.15</v>
      </c>
      <c r="F13" s="279">
        <v>2313.8000000000002</v>
      </c>
      <c r="G13" s="554">
        <v>195</v>
      </c>
      <c r="H13" s="371">
        <v>578</v>
      </c>
      <c r="I13" s="279">
        <v>8</v>
      </c>
      <c r="J13" s="1605" t="s">
        <v>1229</v>
      </c>
      <c r="K13" s="7"/>
    </row>
    <row r="14" spans="1:11" ht="13.5" customHeight="1">
      <c r="A14" s="1595">
        <f t="shared" si="0"/>
        <v>8</v>
      </c>
      <c r="B14" s="629" t="s">
        <v>760</v>
      </c>
      <c r="C14" s="554" t="s">
        <v>857</v>
      </c>
      <c r="D14" s="371" t="s">
        <v>857</v>
      </c>
      <c r="E14" s="1597">
        <v>122.49</v>
      </c>
      <c r="F14" s="279">
        <v>584.41</v>
      </c>
      <c r="G14" s="554">
        <v>407.09</v>
      </c>
      <c r="H14" s="371">
        <v>229.64</v>
      </c>
      <c r="I14" s="279">
        <v>4.5</v>
      </c>
      <c r="J14" s="1605" t="s">
        <v>1229</v>
      </c>
      <c r="K14" s="7"/>
    </row>
    <row r="15" spans="1:11" ht="13.5" customHeight="1">
      <c r="A15" s="1595">
        <f t="shared" si="0"/>
        <v>9</v>
      </c>
      <c r="B15" s="629" t="s">
        <v>1194</v>
      </c>
      <c r="C15" s="554" t="s">
        <v>857</v>
      </c>
      <c r="D15" s="371" t="s">
        <v>857</v>
      </c>
      <c r="E15" s="1597">
        <v>145.32</v>
      </c>
      <c r="F15" s="279">
        <v>580.41999999999996</v>
      </c>
      <c r="G15" s="554">
        <v>137</v>
      </c>
      <c r="H15" s="371">
        <v>380</v>
      </c>
      <c r="I15" s="279">
        <v>12</v>
      </c>
      <c r="J15" s="1605" t="s">
        <v>1229</v>
      </c>
      <c r="K15" s="7"/>
    </row>
    <row r="16" spans="1:11" ht="13.5" customHeight="1">
      <c r="A16" s="1595">
        <f t="shared" si="0"/>
        <v>10</v>
      </c>
      <c r="B16" s="629" t="s">
        <v>1221</v>
      </c>
      <c r="C16" s="554" t="s">
        <v>857</v>
      </c>
      <c r="D16" s="371" t="s">
        <v>857</v>
      </c>
      <c r="E16" s="1597">
        <v>329.15</v>
      </c>
      <c r="F16" s="279">
        <v>128.80000000000001</v>
      </c>
      <c r="G16" s="554">
        <v>693.21</v>
      </c>
      <c r="H16" s="371">
        <v>93.72</v>
      </c>
      <c r="I16" s="279">
        <v>110.2</v>
      </c>
      <c r="J16" s="1605" t="s">
        <v>1229</v>
      </c>
      <c r="K16" s="7"/>
    </row>
    <row r="17" spans="1:11" ht="13.5" customHeight="1">
      <c r="A17" s="1595">
        <f t="shared" si="0"/>
        <v>11</v>
      </c>
      <c r="B17" s="629" t="s">
        <v>761</v>
      </c>
      <c r="C17" s="554" t="s">
        <v>857</v>
      </c>
      <c r="D17" s="371" t="s">
        <v>857</v>
      </c>
      <c r="E17" s="1597">
        <v>257.43</v>
      </c>
      <c r="F17" s="279">
        <v>110.8</v>
      </c>
      <c r="G17" s="554">
        <v>210</v>
      </c>
      <c r="H17" s="371">
        <v>10.4</v>
      </c>
      <c r="I17" s="279">
        <v>36.700000000000003</v>
      </c>
      <c r="J17" s="1605" t="s">
        <v>1229</v>
      </c>
      <c r="K17" s="7"/>
    </row>
    <row r="18" spans="1:11" ht="13.5" customHeight="1">
      <c r="A18" s="1595">
        <f t="shared" si="0"/>
        <v>12</v>
      </c>
      <c r="B18" s="629" t="s">
        <v>762</v>
      </c>
      <c r="C18" s="554" t="s">
        <v>857</v>
      </c>
      <c r="D18" s="371" t="s">
        <v>857</v>
      </c>
      <c r="E18" s="1597">
        <v>228.5</v>
      </c>
      <c r="F18" s="279">
        <v>83</v>
      </c>
      <c r="G18" s="554">
        <v>160</v>
      </c>
      <c r="H18" s="371">
        <v>320.25</v>
      </c>
      <c r="I18" s="279">
        <v>90</v>
      </c>
      <c r="J18" s="1605" t="s">
        <v>1229</v>
      </c>
      <c r="K18" s="7"/>
    </row>
    <row r="19" spans="1:11" ht="13.5" customHeight="1">
      <c r="A19" s="1595">
        <f t="shared" si="0"/>
        <v>13</v>
      </c>
      <c r="B19" s="629" t="s">
        <v>1223</v>
      </c>
      <c r="C19" s="554" t="s">
        <v>857</v>
      </c>
      <c r="D19" s="371" t="s">
        <v>857</v>
      </c>
      <c r="E19" s="1597">
        <v>113.19</v>
      </c>
      <c r="F19" s="279">
        <v>608.85</v>
      </c>
      <c r="G19" s="554">
        <v>485</v>
      </c>
      <c r="H19" s="371">
        <v>541</v>
      </c>
      <c r="I19" s="279">
        <v>28</v>
      </c>
      <c r="J19" s="1605" t="s">
        <v>1229</v>
      </c>
      <c r="K19" s="7"/>
    </row>
    <row r="20" spans="1:11" ht="13.5" customHeight="1">
      <c r="A20" s="1595">
        <f t="shared" si="0"/>
        <v>14</v>
      </c>
      <c r="B20" s="629" t="s">
        <v>1224</v>
      </c>
      <c r="C20" s="554" t="s">
        <v>857</v>
      </c>
      <c r="D20" s="371" t="s">
        <v>857</v>
      </c>
      <c r="E20" s="1597">
        <v>257.94</v>
      </c>
      <c r="F20" s="279">
        <v>233.34</v>
      </c>
      <c r="G20" s="746">
        <v>302</v>
      </c>
      <c r="H20" s="371">
        <v>878</v>
      </c>
      <c r="I20" s="279">
        <v>10</v>
      </c>
      <c r="J20" s="1605" t="s">
        <v>1229</v>
      </c>
      <c r="K20" s="7"/>
    </row>
    <row r="21" spans="1:11" ht="13.5" customHeight="1">
      <c r="A21" s="1595">
        <f t="shared" si="0"/>
        <v>15</v>
      </c>
      <c r="B21" s="629" t="s">
        <v>1197</v>
      </c>
      <c r="C21" s="554" t="s">
        <v>857</v>
      </c>
      <c r="D21" s="371" t="s">
        <v>857</v>
      </c>
      <c r="E21" s="1597">
        <v>209.63</v>
      </c>
      <c r="F21" s="279">
        <v>637.42999999999995</v>
      </c>
      <c r="G21" s="554">
        <v>9</v>
      </c>
      <c r="H21" s="371">
        <v>45</v>
      </c>
      <c r="I21" s="279">
        <v>30</v>
      </c>
      <c r="J21" s="1605" t="s">
        <v>1229</v>
      </c>
      <c r="K21" s="7"/>
    </row>
    <row r="22" spans="1:11" ht="13.5" customHeight="1">
      <c r="A22" s="1595">
        <f t="shared" si="0"/>
        <v>16</v>
      </c>
      <c r="B22" s="629" t="s">
        <v>1198</v>
      </c>
      <c r="C22" s="554" t="s">
        <v>857</v>
      </c>
      <c r="D22" s="371" t="s">
        <v>857</v>
      </c>
      <c r="E22" s="1597">
        <v>60.66</v>
      </c>
      <c r="F22" s="279">
        <v>620.29999999999995</v>
      </c>
      <c r="G22" s="746">
        <v>49</v>
      </c>
      <c r="H22" s="371">
        <v>280</v>
      </c>
      <c r="I22" s="279">
        <v>8</v>
      </c>
      <c r="J22" s="1605" t="s">
        <v>1229</v>
      </c>
      <c r="K22" s="7"/>
    </row>
    <row r="23" spans="1:11" ht="13.5" customHeight="1">
      <c r="A23" s="1595">
        <f t="shared" si="0"/>
        <v>17</v>
      </c>
      <c r="B23" s="629" t="s">
        <v>1225</v>
      </c>
      <c r="C23" s="554" t="s">
        <v>857</v>
      </c>
      <c r="D23" s="371" t="s">
        <v>857</v>
      </c>
      <c r="E23" s="1597">
        <v>213.95</v>
      </c>
      <c r="F23" s="279">
        <v>358.55</v>
      </c>
      <c r="G23" s="554">
        <v>279.35000000000002</v>
      </c>
      <c r="H23" s="371">
        <v>193.59</v>
      </c>
      <c r="I23" s="279">
        <v>30</v>
      </c>
      <c r="J23" s="1605" t="s">
        <v>1229</v>
      </c>
      <c r="K23" s="7"/>
    </row>
    <row r="24" spans="1:11" ht="13.5" customHeight="1">
      <c r="A24" s="1595">
        <f t="shared" si="0"/>
        <v>18</v>
      </c>
      <c r="B24" s="629" t="s">
        <v>1226</v>
      </c>
      <c r="C24" s="554" t="s">
        <v>857</v>
      </c>
      <c r="D24" s="371" t="s">
        <v>857</v>
      </c>
      <c r="E24" s="1597">
        <v>191.05</v>
      </c>
      <c r="F24" s="279">
        <v>265.05</v>
      </c>
      <c r="G24" s="554">
        <v>354</v>
      </c>
      <c r="H24" s="371">
        <v>48</v>
      </c>
      <c r="I24" s="279">
        <v>4.25</v>
      </c>
      <c r="J24" s="1605" t="s">
        <v>1229</v>
      </c>
      <c r="K24" s="7"/>
    </row>
    <row r="25" spans="1:11" ht="13.5" customHeight="1">
      <c r="A25" s="1595">
        <f t="shared" si="0"/>
        <v>19</v>
      </c>
      <c r="B25" s="629" t="s">
        <v>837</v>
      </c>
      <c r="C25" s="554" t="s">
        <v>857</v>
      </c>
      <c r="D25" s="371" t="s">
        <v>857</v>
      </c>
      <c r="E25" s="1597">
        <v>224.15</v>
      </c>
      <c r="F25" s="279">
        <v>211.1</v>
      </c>
      <c r="G25" s="554">
        <v>90</v>
      </c>
      <c r="H25" s="371">
        <v>160</v>
      </c>
      <c r="I25" s="279">
        <v>5</v>
      </c>
      <c r="J25" s="1605" t="s">
        <v>1229</v>
      </c>
      <c r="K25" s="7"/>
    </row>
    <row r="26" spans="1:11" ht="13.5" customHeight="1">
      <c r="A26" s="1595">
        <f t="shared" si="0"/>
        <v>20</v>
      </c>
      <c r="B26" s="629" t="s">
        <v>1203</v>
      </c>
      <c r="C26" s="554" t="s">
        <v>857</v>
      </c>
      <c r="D26" s="371" t="s">
        <v>857</v>
      </c>
      <c r="E26" s="1597">
        <v>158.55000000000001</v>
      </c>
      <c r="F26" s="279">
        <v>177.3</v>
      </c>
      <c r="G26" s="554">
        <v>415</v>
      </c>
      <c r="H26" s="371">
        <v>340</v>
      </c>
      <c r="I26" s="279">
        <v>38</v>
      </c>
      <c r="J26" s="1605" t="s">
        <v>1229</v>
      </c>
      <c r="K26" s="7"/>
    </row>
    <row r="27" spans="1:11" ht="13.5" customHeight="1">
      <c r="A27" s="1595">
        <f t="shared" si="0"/>
        <v>21</v>
      </c>
      <c r="B27" s="629" t="s">
        <v>1204</v>
      </c>
      <c r="C27" s="554" t="s">
        <v>857</v>
      </c>
      <c r="D27" s="371" t="s">
        <v>857</v>
      </c>
      <c r="E27" s="1597">
        <v>141.55000000000001</v>
      </c>
      <c r="F27" s="279">
        <v>231.67</v>
      </c>
      <c r="G27" s="554">
        <v>122</v>
      </c>
      <c r="H27" s="1132">
        <v>49</v>
      </c>
      <c r="I27" s="279">
        <v>58.93</v>
      </c>
      <c r="J27" s="1605" t="s">
        <v>1229</v>
      </c>
      <c r="K27" s="7"/>
    </row>
    <row r="28" spans="1:11" ht="13.5" customHeight="1">
      <c r="A28" s="1595">
        <f t="shared" si="0"/>
        <v>22</v>
      </c>
      <c r="B28" s="339" t="s">
        <v>1744</v>
      </c>
      <c r="C28" s="554" t="s">
        <v>857</v>
      </c>
      <c r="D28" s="371" t="s">
        <v>857</v>
      </c>
      <c r="E28" s="1597">
        <v>135.05000000000001</v>
      </c>
      <c r="F28" s="279">
        <v>264.2</v>
      </c>
      <c r="G28" s="554">
        <v>95</v>
      </c>
      <c r="H28" s="371">
        <v>145</v>
      </c>
      <c r="I28" s="1130">
        <v>3.5</v>
      </c>
      <c r="J28" s="1605" t="s">
        <v>1229</v>
      </c>
      <c r="K28" s="7"/>
    </row>
    <row r="29" spans="1:11" ht="13.5" customHeight="1">
      <c r="A29" s="1595">
        <f t="shared" si="0"/>
        <v>23</v>
      </c>
      <c r="B29" s="339" t="s">
        <v>1745</v>
      </c>
      <c r="C29" s="554" t="s">
        <v>857</v>
      </c>
      <c r="D29" s="371" t="s">
        <v>857</v>
      </c>
      <c r="E29" s="1597">
        <v>139.68</v>
      </c>
      <c r="F29" s="279">
        <v>225.95</v>
      </c>
      <c r="G29" s="554">
        <v>130.30000000000001</v>
      </c>
      <c r="H29" s="371">
        <v>64.900000000000006</v>
      </c>
      <c r="I29" s="279">
        <v>8.5</v>
      </c>
      <c r="J29" s="1605" t="s">
        <v>1229</v>
      </c>
      <c r="K29" s="7"/>
    </row>
    <row r="30" spans="1:11" ht="13.5" customHeight="1">
      <c r="A30" s="1595">
        <f t="shared" si="0"/>
        <v>24</v>
      </c>
      <c r="B30" s="629" t="s">
        <v>1227</v>
      </c>
      <c r="C30" s="554" t="s">
        <v>857</v>
      </c>
      <c r="D30" s="371" t="s">
        <v>857</v>
      </c>
      <c r="E30" s="1597">
        <v>321.63</v>
      </c>
      <c r="F30" s="279">
        <v>584.65</v>
      </c>
      <c r="G30" s="554">
        <v>122.35</v>
      </c>
      <c r="H30" s="371">
        <v>155.63999999999999</v>
      </c>
      <c r="I30" s="279">
        <v>86</v>
      </c>
      <c r="J30" s="1605" t="s">
        <v>1229</v>
      </c>
      <c r="K30" s="7"/>
    </row>
    <row r="31" spans="1:11" ht="13.5" customHeight="1">
      <c r="A31" s="1595">
        <f t="shared" si="0"/>
        <v>25</v>
      </c>
      <c r="B31" s="629" t="s">
        <v>1228</v>
      </c>
      <c r="C31" s="554" t="s">
        <v>857</v>
      </c>
      <c r="D31" s="371" t="s">
        <v>857</v>
      </c>
      <c r="E31" s="1597">
        <v>146.77000000000001</v>
      </c>
      <c r="F31" s="279">
        <v>453.71</v>
      </c>
      <c r="G31" s="554">
        <v>255</v>
      </c>
      <c r="H31" s="371">
        <v>96</v>
      </c>
      <c r="I31" s="279">
        <v>19</v>
      </c>
      <c r="J31" s="1605" t="s">
        <v>1229</v>
      </c>
      <c r="K31" s="7"/>
    </row>
    <row r="32" spans="1:11" ht="13.5" customHeight="1">
      <c r="A32" s="1595">
        <f t="shared" si="0"/>
        <v>26</v>
      </c>
      <c r="B32" s="629" t="s">
        <v>1205</v>
      </c>
      <c r="C32" s="554" t="s">
        <v>857</v>
      </c>
      <c r="D32" s="371" t="s">
        <v>857</v>
      </c>
      <c r="E32" s="1597">
        <v>293.48</v>
      </c>
      <c r="F32" s="279">
        <v>437.45</v>
      </c>
      <c r="G32" s="554">
        <v>232</v>
      </c>
      <c r="H32" s="371">
        <v>265</v>
      </c>
      <c r="I32" s="279">
        <v>28.5</v>
      </c>
      <c r="J32" s="1605" t="s">
        <v>1229</v>
      </c>
      <c r="K32" s="7"/>
    </row>
    <row r="33" spans="1:11" ht="13.5" customHeight="1">
      <c r="A33" s="1595">
        <f t="shared" si="0"/>
        <v>27</v>
      </c>
      <c r="B33" s="629" t="s">
        <v>1206</v>
      </c>
      <c r="C33" s="554" t="s">
        <v>857</v>
      </c>
      <c r="D33" s="371" t="s">
        <v>857</v>
      </c>
      <c r="E33" s="1597">
        <v>120.88</v>
      </c>
      <c r="F33" s="279">
        <v>512.70000000000005</v>
      </c>
      <c r="G33" s="554">
        <v>289.67</v>
      </c>
      <c r="H33" s="371">
        <v>582.79999999999995</v>
      </c>
      <c r="I33" s="279">
        <v>15.5</v>
      </c>
      <c r="J33" s="1605" t="s">
        <v>1229</v>
      </c>
      <c r="K33" s="7"/>
    </row>
    <row r="34" spans="1:11" ht="13.5" customHeight="1">
      <c r="A34" s="1595">
        <f t="shared" si="0"/>
        <v>28</v>
      </c>
      <c r="B34" s="629" t="s">
        <v>1207</v>
      </c>
      <c r="C34" s="554" t="s">
        <v>857</v>
      </c>
      <c r="D34" s="371" t="s">
        <v>857</v>
      </c>
      <c r="E34" s="1597">
        <v>176.4</v>
      </c>
      <c r="F34" s="279">
        <v>678.76</v>
      </c>
      <c r="G34" s="554">
        <v>130</v>
      </c>
      <c r="H34" s="371">
        <v>60</v>
      </c>
      <c r="I34" s="1131">
        <v>12</v>
      </c>
      <c r="J34" s="1605" t="s">
        <v>1229</v>
      </c>
      <c r="K34" s="7"/>
    </row>
    <row r="35" spans="1:11" ht="13.5" customHeight="1">
      <c r="A35" s="1594">
        <f t="shared" si="0"/>
        <v>29</v>
      </c>
      <c r="B35" s="1602" t="s">
        <v>1208</v>
      </c>
      <c r="C35" s="1100" t="s">
        <v>857</v>
      </c>
      <c r="D35" s="381" t="s">
        <v>857</v>
      </c>
      <c r="E35" s="1592">
        <v>137.15</v>
      </c>
      <c r="F35" s="538">
        <v>1328.65</v>
      </c>
      <c r="G35" s="1100">
        <v>730</v>
      </c>
      <c r="H35" s="381">
        <v>350</v>
      </c>
      <c r="I35" s="538">
        <v>57</v>
      </c>
      <c r="J35" s="1606" t="s">
        <v>1229</v>
      </c>
      <c r="K35" s="7"/>
    </row>
    <row r="36" spans="1:11" ht="12.75" customHeight="1">
      <c r="B36" s="98"/>
      <c r="E36" s="1008" t="s">
        <v>1446</v>
      </c>
      <c r="F36" s="1009" t="s">
        <v>150</v>
      </c>
    </row>
    <row r="37" spans="1:11" ht="12.75" customHeight="1">
      <c r="B37" s="98"/>
      <c r="C37" s="98"/>
      <c r="F37" s="1009" t="s">
        <v>151</v>
      </c>
      <c r="K37" s="776"/>
    </row>
    <row r="38" spans="1:11" ht="12.75" customHeight="1">
      <c r="B38" s="98"/>
      <c r="C38" s="98"/>
      <c r="F38" s="1009" t="s">
        <v>1027</v>
      </c>
    </row>
    <row r="39" spans="1:11">
      <c r="C39" s="18"/>
      <c r="E39" s="1569"/>
      <c r="F39" s="18"/>
      <c r="G39" s="18"/>
      <c r="H39" s="18"/>
      <c r="I39" s="18"/>
    </row>
    <row r="41" spans="1:11">
      <c r="J41" s="776"/>
      <c r="K41" s="776"/>
    </row>
  </sheetData>
  <mergeCells count="8">
    <mergeCell ref="A4:A5"/>
    <mergeCell ref="B4:B5"/>
    <mergeCell ref="A2:J2"/>
    <mergeCell ref="A1:J1"/>
    <mergeCell ref="I4:J4"/>
    <mergeCell ref="G4:H4"/>
    <mergeCell ref="E4:F4"/>
    <mergeCell ref="C4:D4"/>
  </mergeCells>
  <phoneticPr fontId="0" type="noConversion"/>
  <conditionalFormatting sqref="A1:D1048576 F1:XFD1048576 E1:E36 E38:E1048576">
    <cfRule type="cellIs" dxfId="0" priority="1" operator="equal">
      <formula>".."</formula>
    </cfRule>
  </conditionalFormatting>
  <printOptions horizontalCentered="1"/>
  <pageMargins left="0.31" right="0.1" top="0.53" bottom="0.1" header="0.34" footer="0.1"/>
  <pageSetup paperSize="9" orientation="landscape" blackAndWhite="1" r:id="rId1"/>
  <headerFooter alignWithMargins="0"/>
</worksheet>
</file>

<file path=xl/worksheets/sheet86.xml><?xml version="1.0" encoding="utf-8"?>
<worksheet xmlns="http://schemas.openxmlformats.org/spreadsheetml/2006/main" xmlns:r="http://schemas.openxmlformats.org/officeDocument/2006/relationships">
  <dimension ref="A1:J42"/>
  <sheetViews>
    <sheetView topLeftCell="A19" workbookViewId="0">
      <selection activeCell="O25" sqref="O25"/>
    </sheetView>
  </sheetViews>
  <sheetFormatPr defaultRowHeight="12.75"/>
  <cols>
    <col min="1" max="1" width="5.85546875" customWidth="1"/>
    <col min="2" max="2" width="26" customWidth="1"/>
    <col min="3" max="3" width="11.140625" customWidth="1"/>
    <col min="4" max="4" width="18.140625" customWidth="1"/>
    <col min="5" max="5" width="20.85546875" customWidth="1"/>
    <col min="6" max="6" width="10.7109375" customWidth="1"/>
  </cols>
  <sheetData>
    <row r="1" spans="1:9" ht="18" customHeight="1">
      <c r="A1" s="1765" t="s">
        <v>835</v>
      </c>
      <c r="B1" s="1765"/>
      <c r="C1" s="1765"/>
      <c r="D1" s="1765"/>
      <c r="E1" s="1765"/>
    </row>
    <row r="2" spans="1:9">
      <c r="A2" s="1766" t="str">
        <f>CONCATENATE("Transport Facilities in the Blocks of ",District!$A$1,"  
for the year ",District!F3)</f>
        <v>Transport Facilities in the Blocks of South 24-Parganas  
for the year 2013-14</v>
      </c>
      <c r="B2" s="1766"/>
      <c r="C2" s="1766"/>
      <c r="D2" s="1766"/>
      <c r="E2" s="1766"/>
      <c r="F2" s="24"/>
    </row>
    <row r="3" spans="1:9" ht="20.25" customHeight="1">
      <c r="A3" s="2005"/>
      <c r="B3" s="2005"/>
      <c r="C3" s="2005"/>
      <c r="D3" s="2005"/>
      <c r="E3" s="2005"/>
    </row>
    <row r="4" spans="1:9" s="232" customFormat="1" ht="15.95" customHeight="1">
      <c r="A4" s="2291" t="s">
        <v>1292</v>
      </c>
      <c r="B4" s="2288" t="s">
        <v>235</v>
      </c>
      <c r="C4" s="2294" t="s">
        <v>364</v>
      </c>
      <c r="D4" s="2294" t="s">
        <v>365</v>
      </c>
      <c r="E4" s="2294" t="s">
        <v>399</v>
      </c>
    </row>
    <row r="5" spans="1:9" s="232" customFormat="1" ht="15.95" customHeight="1">
      <c r="A5" s="2292"/>
      <c r="B5" s="2289"/>
      <c r="C5" s="2295"/>
      <c r="D5" s="2295"/>
      <c r="E5" s="2295"/>
      <c r="I5" s="449"/>
    </row>
    <row r="6" spans="1:9" s="232" customFormat="1" ht="15.95" customHeight="1">
      <c r="A6" s="2293"/>
      <c r="B6" s="2290"/>
      <c r="C6" s="2296"/>
      <c r="D6" s="2296"/>
      <c r="E6" s="2296"/>
      <c r="I6" s="449"/>
    </row>
    <row r="7" spans="1:9" s="232" customFormat="1" ht="15.95" customHeight="1">
      <c r="A7" s="196" t="s">
        <v>928</v>
      </c>
      <c r="B7" s="304" t="s">
        <v>929</v>
      </c>
      <c r="C7" s="258" t="s">
        <v>930</v>
      </c>
      <c r="D7" s="196" t="s">
        <v>931</v>
      </c>
      <c r="E7" s="304" t="s">
        <v>932</v>
      </c>
      <c r="I7" s="39"/>
    </row>
    <row r="8" spans="1:9" s="232" customFormat="1" ht="17.25" customHeight="1">
      <c r="A8" s="515">
        <v>1</v>
      </c>
      <c r="B8" s="629" t="s">
        <v>1544</v>
      </c>
      <c r="C8" s="756" t="s">
        <v>1229</v>
      </c>
      <c r="D8" s="77">
        <v>13</v>
      </c>
      <c r="E8" s="991">
        <v>4</v>
      </c>
    </row>
    <row r="9" spans="1:9" s="232" customFormat="1" ht="17.25" customHeight="1">
      <c r="A9" s="515">
        <f t="shared" ref="A9:A36" si="0">A8+1</f>
        <v>2</v>
      </c>
      <c r="B9" s="629" t="s">
        <v>1214</v>
      </c>
      <c r="C9" s="756" t="s">
        <v>1229</v>
      </c>
      <c r="D9" s="77">
        <v>14</v>
      </c>
      <c r="E9" s="991">
        <v>14</v>
      </c>
    </row>
    <row r="10" spans="1:9" s="232" customFormat="1" ht="17.25" customHeight="1">
      <c r="A10" s="515">
        <f t="shared" si="0"/>
        <v>3</v>
      </c>
      <c r="B10" s="629" t="s">
        <v>1211</v>
      </c>
      <c r="C10" s="756" t="s">
        <v>1229</v>
      </c>
      <c r="D10" s="77">
        <v>11</v>
      </c>
      <c r="E10" s="991">
        <v>17</v>
      </c>
    </row>
    <row r="11" spans="1:9" s="232" customFormat="1" ht="17.25" customHeight="1">
      <c r="A11" s="515">
        <f t="shared" si="0"/>
        <v>4</v>
      </c>
      <c r="B11" s="629" t="s">
        <v>1212</v>
      </c>
      <c r="C11" s="756" t="s">
        <v>1229</v>
      </c>
      <c r="D11" s="77">
        <v>1</v>
      </c>
      <c r="E11" s="991">
        <v>6</v>
      </c>
    </row>
    <row r="12" spans="1:9" s="232" customFormat="1" ht="17.25" customHeight="1">
      <c r="A12" s="515">
        <f t="shared" si="0"/>
        <v>5</v>
      </c>
      <c r="B12" s="629" t="s">
        <v>1213</v>
      </c>
      <c r="C12" s="756">
        <v>4</v>
      </c>
      <c r="D12" s="77">
        <v>7</v>
      </c>
      <c r="E12" s="991">
        <v>14</v>
      </c>
    </row>
    <row r="13" spans="1:9" s="232" customFormat="1" ht="17.25" customHeight="1">
      <c r="A13" s="515">
        <f t="shared" si="0"/>
        <v>6</v>
      </c>
      <c r="B13" s="629" t="s">
        <v>1218</v>
      </c>
      <c r="C13" s="756" t="s">
        <v>1229</v>
      </c>
      <c r="D13" s="77">
        <v>13</v>
      </c>
      <c r="E13" s="991">
        <v>2</v>
      </c>
    </row>
    <row r="14" spans="1:9" s="232" customFormat="1" ht="17.25" customHeight="1">
      <c r="A14" s="515">
        <f t="shared" si="0"/>
        <v>7</v>
      </c>
      <c r="B14" s="629" t="s">
        <v>759</v>
      </c>
      <c r="C14" s="39">
        <v>2</v>
      </c>
      <c r="D14" s="77">
        <v>2</v>
      </c>
      <c r="E14" s="991">
        <v>1</v>
      </c>
    </row>
    <row r="15" spans="1:9" s="232" customFormat="1" ht="17.25" customHeight="1">
      <c r="A15" s="515">
        <f t="shared" si="0"/>
        <v>8</v>
      </c>
      <c r="B15" s="629" t="s">
        <v>760</v>
      </c>
      <c r="C15" s="39">
        <v>1</v>
      </c>
      <c r="D15" s="77">
        <v>2</v>
      </c>
      <c r="E15" s="991">
        <v>3</v>
      </c>
    </row>
    <row r="16" spans="1:9" s="232" customFormat="1" ht="17.25" customHeight="1">
      <c r="A16" s="515">
        <f t="shared" si="0"/>
        <v>9</v>
      </c>
      <c r="B16" s="629" t="s">
        <v>1194</v>
      </c>
      <c r="C16" s="39">
        <v>13</v>
      </c>
      <c r="D16" s="77">
        <v>2</v>
      </c>
      <c r="E16" s="991">
        <v>21</v>
      </c>
    </row>
    <row r="17" spans="1:5" s="232" customFormat="1" ht="17.25" customHeight="1">
      <c r="A17" s="515">
        <f t="shared" si="0"/>
        <v>10</v>
      </c>
      <c r="B17" s="629" t="s">
        <v>1221</v>
      </c>
      <c r="C17" s="756" t="s">
        <v>1229</v>
      </c>
      <c r="D17" s="77">
        <v>6</v>
      </c>
      <c r="E17" s="991">
        <v>4</v>
      </c>
    </row>
    <row r="18" spans="1:5" s="232" customFormat="1" ht="17.25" customHeight="1">
      <c r="A18" s="515">
        <f t="shared" si="0"/>
        <v>11</v>
      </c>
      <c r="B18" s="629" t="s">
        <v>761</v>
      </c>
      <c r="C18" s="756" t="s">
        <v>1229</v>
      </c>
      <c r="D18" s="77">
        <v>14</v>
      </c>
      <c r="E18" s="991">
        <v>24</v>
      </c>
    </row>
    <row r="19" spans="1:5" s="232" customFormat="1" ht="17.25" customHeight="1">
      <c r="A19" s="515">
        <f t="shared" si="0"/>
        <v>12</v>
      </c>
      <c r="B19" s="629" t="s">
        <v>762</v>
      </c>
      <c r="C19" s="756" t="s">
        <v>1229</v>
      </c>
      <c r="D19" s="77">
        <v>1</v>
      </c>
      <c r="E19" s="991">
        <v>27</v>
      </c>
    </row>
    <row r="20" spans="1:5" s="232" customFormat="1" ht="17.25" customHeight="1">
      <c r="A20" s="515">
        <f t="shared" si="0"/>
        <v>13</v>
      </c>
      <c r="B20" s="629" t="s">
        <v>1223</v>
      </c>
      <c r="C20" s="39">
        <v>1</v>
      </c>
      <c r="D20" s="77">
        <v>3</v>
      </c>
      <c r="E20" s="991">
        <v>1</v>
      </c>
    </row>
    <row r="21" spans="1:5" s="232" customFormat="1" ht="17.25" customHeight="1">
      <c r="A21" s="515">
        <f t="shared" si="0"/>
        <v>14</v>
      </c>
      <c r="B21" s="629" t="s">
        <v>1224</v>
      </c>
      <c r="C21" s="756">
        <v>1</v>
      </c>
      <c r="D21" s="77" t="s">
        <v>1229</v>
      </c>
      <c r="E21" s="991">
        <v>13</v>
      </c>
    </row>
    <row r="22" spans="1:5" s="232" customFormat="1" ht="17.25" customHeight="1">
      <c r="A22" s="515">
        <f t="shared" si="0"/>
        <v>15</v>
      </c>
      <c r="B22" s="629" t="s">
        <v>1197</v>
      </c>
      <c r="C22" s="39">
        <v>10</v>
      </c>
      <c r="D22" s="77">
        <v>6</v>
      </c>
      <c r="E22" s="991">
        <v>16</v>
      </c>
    </row>
    <row r="23" spans="1:5" s="232" customFormat="1" ht="17.25" customHeight="1">
      <c r="A23" s="515">
        <f t="shared" si="0"/>
        <v>16</v>
      </c>
      <c r="B23" s="629" t="s">
        <v>1198</v>
      </c>
      <c r="C23" s="39">
        <v>30</v>
      </c>
      <c r="D23" s="702" t="s">
        <v>1229</v>
      </c>
      <c r="E23" s="991">
        <v>36</v>
      </c>
    </row>
    <row r="24" spans="1:5" s="232" customFormat="1" ht="17.25" customHeight="1">
      <c r="A24" s="515">
        <f t="shared" si="0"/>
        <v>17</v>
      </c>
      <c r="B24" s="629" t="s">
        <v>1225</v>
      </c>
      <c r="C24" s="756">
        <v>1</v>
      </c>
      <c r="D24" s="77">
        <v>9</v>
      </c>
      <c r="E24" s="991">
        <v>3</v>
      </c>
    </row>
    <row r="25" spans="1:5" s="232" customFormat="1" ht="17.25" customHeight="1">
      <c r="A25" s="515">
        <f t="shared" si="0"/>
        <v>18</v>
      </c>
      <c r="B25" s="629" t="s">
        <v>1226</v>
      </c>
      <c r="C25" s="39">
        <v>1</v>
      </c>
      <c r="D25" s="77">
        <v>2</v>
      </c>
      <c r="E25" s="991">
        <v>1</v>
      </c>
    </row>
    <row r="26" spans="1:5" s="232" customFormat="1" ht="17.25" customHeight="1">
      <c r="A26" s="515">
        <f t="shared" si="0"/>
        <v>19</v>
      </c>
      <c r="B26" s="629" t="s">
        <v>837</v>
      </c>
      <c r="C26" s="756" t="s">
        <v>1229</v>
      </c>
      <c r="D26" s="392" t="s">
        <v>1872</v>
      </c>
      <c r="E26" s="991">
        <v>5</v>
      </c>
    </row>
    <row r="27" spans="1:5" s="232" customFormat="1" ht="17.25" customHeight="1">
      <c r="A27" s="515">
        <f t="shared" si="0"/>
        <v>20</v>
      </c>
      <c r="B27" s="629" t="s">
        <v>1203</v>
      </c>
      <c r="C27" s="756" t="s">
        <v>1229</v>
      </c>
      <c r="D27" s="77">
        <v>6</v>
      </c>
      <c r="E27" s="991">
        <v>3</v>
      </c>
    </row>
    <row r="28" spans="1:5" s="232" customFormat="1" ht="17.25" customHeight="1">
      <c r="A28" s="515">
        <f t="shared" si="0"/>
        <v>21</v>
      </c>
      <c r="B28" s="629" t="s">
        <v>1204</v>
      </c>
      <c r="C28" s="39">
        <v>2</v>
      </c>
      <c r="D28" s="77">
        <v>9</v>
      </c>
      <c r="E28" s="991">
        <v>20</v>
      </c>
    </row>
    <row r="29" spans="1:5" s="232" customFormat="1" ht="17.25" customHeight="1">
      <c r="A29" s="515">
        <f t="shared" si="0"/>
        <v>22</v>
      </c>
      <c r="B29" s="339" t="s">
        <v>1744</v>
      </c>
      <c r="C29" s="39">
        <v>1</v>
      </c>
      <c r="D29" s="77">
        <v>10</v>
      </c>
      <c r="E29" s="991">
        <v>1</v>
      </c>
    </row>
    <row r="30" spans="1:5" s="232" customFormat="1" ht="17.25" customHeight="1">
      <c r="A30" s="515">
        <f t="shared" si="0"/>
        <v>23</v>
      </c>
      <c r="B30" s="339" t="s">
        <v>1745</v>
      </c>
      <c r="C30" s="39">
        <v>5</v>
      </c>
      <c r="D30" s="77">
        <v>17</v>
      </c>
      <c r="E30" s="991">
        <v>8</v>
      </c>
    </row>
    <row r="31" spans="1:5" s="232" customFormat="1" ht="17.25" customHeight="1">
      <c r="A31" s="515">
        <f t="shared" si="0"/>
        <v>24</v>
      </c>
      <c r="B31" s="629" t="s">
        <v>1227</v>
      </c>
      <c r="C31" s="756" t="s">
        <v>1229</v>
      </c>
      <c r="D31" s="392" t="s">
        <v>1860</v>
      </c>
      <c r="E31" s="991">
        <v>3</v>
      </c>
    </row>
    <row r="32" spans="1:5" s="232" customFormat="1" ht="17.25" customHeight="1">
      <c r="A32" s="515">
        <f t="shared" si="0"/>
        <v>25</v>
      </c>
      <c r="B32" s="629" t="s">
        <v>1228</v>
      </c>
      <c r="C32" s="39">
        <v>6</v>
      </c>
      <c r="D32" s="77">
        <v>3</v>
      </c>
      <c r="E32" s="991">
        <v>16</v>
      </c>
    </row>
    <row r="33" spans="1:10" s="232" customFormat="1" ht="17.25" customHeight="1">
      <c r="A33" s="515">
        <f t="shared" si="0"/>
        <v>26</v>
      </c>
      <c r="B33" s="629" t="s">
        <v>1205</v>
      </c>
      <c r="C33" s="39">
        <v>18</v>
      </c>
      <c r="D33" s="77">
        <v>8</v>
      </c>
      <c r="E33" s="991">
        <v>2</v>
      </c>
    </row>
    <row r="34" spans="1:10" s="232" customFormat="1" ht="17.25" customHeight="1">
      <c r="A34" s="515">
        <f t="shared" si="0"/>
        <v>27</v>
      </c>
      <c r="B34" s="629" t="s">
        <v>1206</v>
      </c>
      <c r="C34" s="39">
        <v>5</v>
      </c>
      <c r="D34" s="77">
        <v>2</v>
      </c>
      <c r="E34" s="991">
        <v>3</v>
      </c>
    </row>
    <row r="35" spans="1:10" s="232" customFormat="1" ht="17.25" customHeight="1">
      <c r="A35" s="515">
        <f t="shared" si="0"/>
        <v>28</v>
      </c>
      <c r="B35" s="629" t="s">
        <v>1207</v>
      </c>
      <c r="C35" s="39">
        <v>4</v>
      </c>
      <c r="D35" s="77">
        <v>1</v>
      </c>
      <c r="E35" s="991">
        <v>30</v>
      </c>
    </row>
    <row r="36" spans="1:10" s="232" customFormat="1" ht="17.25" customHeight="1">
      <c r="A36" s="517">
        <f t="shared" si="0"/>
        <v>29</v>
      </c>
      <c r="B36" s="1007" t="s">
        <v>1208</v>
      </c>
      <c r="C36" s="25">
        <v>43</v>
      </c>
      <c r="D36" s="78">
        <v>2</v>
      </c>
      <c r="E36" s="992">
        <v>44</v>
      </c>
    </row>
    <row r="37" spans="1:10" ht="14.25" customHeight="1">
      <c r="A37" s="6" t="s">
        <v>1873</v>
      </c>
      <c r="E37" s="1008" t="s">
        <v>1419</v>
      </c>
    </row>
    <row r="38" spans="1:10">
      <c r="A38" s="6" t="s">
        <v>1874</v>
      </c>
      <c r="C38" s="98"/>
      <c r="D38" s="98"/>
      <c r="E38" s="98"/>
    </row>
    <row r="40" spans="1:10" ht="20.25">
      <c r="B40" s="315"/>
      <c r="C40" s="316"/>
      <c r="D40" s="316"/>
      <c r="E40" s="316"/>
    </row>
    <row r="41" spans="1:10" ht="30">
      <c r="F41" s="743"/>
      <c r="G41" s="743"/>
      <c r="H41" s="743"/>
      <c r="I41" s="743"/>
      <c r="J41" s="743"/>
    </row>
    <row r="42" spans="1:10" ht="30">
      <c r="A42" s="2287" t="s">
        <v>486</v>
      </c>
      <c r="B42" s="2287"/>
      <c r="C42" s="2287"/>
      <c r="D42" s="2287"/>
      <c r="E42" s="2287"/>
    </row>
  </sheetData>
  <mergeCells count="8">
    <mergeCell ref="A42:E42"/>
    <mergeCell ref="A2:E3"/>
    <mergeCell ref="B4:B6"/>
    <mergeCell ref="A1:E1"/>
    <mergeCell ref="A4:A6"/>
    <mergeCell ref="C4:C6"/>
    <mergeCell ref="D4:D6"/>
    <mergeCell ref="E4:E6"/>
  </mergeCells>
  <phoneticPr fontId="0" type="noConversion"/>
  <printOptions horizontalCentered="1"/>
  <pageMargins left="0.1" right="0.1" top="1.1100000000000001" bottom="0.1" header="0.61" footer="0.1"/>
  <pageSetup paperSize="9" orientation="portrait" blackAndWhite="1" r:id="rId1"/>
  <headerFooter alignWithMargins="0"/>
</worksheet>
</file>

<file path=xl/worksheets/sheet87.xml><?xml version="1.0" encoding="utf-8"?>
<worksheet xmlns="http://schemas.openxmlformats.org/spreadsheetml/2006/main" xmlns:r="http://schemas.openxmlformats.org/officeDocument/2006/relationships">
  <sheetPr codeName="Sheet1"/>
  <dimension ref="A1:G6"/>
  <sheetViews>
    <sheetView workbookViewId="0">
      <selection activeCell="I6" sqref="I6"/>
    </sheetView>
  </sheetViews>
  <sheetFormatPr defaultRowHeight="12.75"/>
  <cols>
    <col min="5" max="5" width="32.5703125" customWidth="1"/>
    <col min="6" max="6" width="14.7109375" customWidth="1"/>
  </cols>
  <sheetData>
    <row r="1" spans="1:7">
      <c r="A1" t="s">
        <v>487</v>
      </c>
    </row>
    <row r="2" spans="1:7" ht="18">
      <c r="E2" s="227" t="s">
        <v>1347</v>
      </c>
      <c r="F2" s="228">
        <v>2014</v>
      </c>
    </row>
    <row r="3" spans="1:7" ht="18">
      <c r="E3" s="227" t="s">
        <v>1348</v>
      </c>
      <c r="F3" s="227" t="s">
        <v>206</v>
      </c>
    </row>
    <row r="4" spans="1:7" ht="18">
      <c r="E4" s="227" t="s">
        <v>1349</v>
      </c>
      <c r="F4" s="228" t="s">
        <v>1350</v>
      </c>
      <c r="G4">
        <v>2011</v>
      </c>
    </row>
    <row r="5" spans="1:7" ht="18">
      <c r="E5" s="660" t="s">
        <v>1764</v>
      </c>
      <c r="F5" s="1307">
        <v>2014</v>
      </c>
    </row>
    <row r="6" spans="1:7" ht="15">
      <c r="E6" s="660" t="s">
        <v>1764</v>
      </c>
      <c r="F6">
        <v>2014</v>
      </c>
    </row>
  </sheetData>
  <phoneticPr fontId="0" type="noConversion"/>
  <pageMargins left="0.75" right="0.75" top="1" bottom="1" header="0.5" footer="0.5"/>
  <pageSetup paperSize="9" orientation="portrait" horizontalDpi="4294967295" verticalDpi="300" r:id="rId1"/>
  <headerFooter alignWithMargins="0"/>
</worksheet>
</file>

<file path=xl/worksheets/sheet9.xml><?xml version="1.0" encoding="utf-8"?>
<worksheet xmlns="http://schemas.openxmlformats.org/spreadsheetml/2006/main" xmlns:r="http://schemas.openxmlformats.org/officeDocument/2006/relationships">
  <dimension ref="A1:P34"/>
  <sheetViews>
    <sheetView topLeftCell="A25" workbookViewId="0">
      <selection activeCell="J11" sqref="J11"/>
    </sheetView>
  </sheetViews>
  <sheetFormatPr defaultRowHeight="12.75"/>
  <cols>
    <col min="1" max="1" width="15.5703125" customWidth="1"/>
    <col min="2" max="2" width="18.28515625" customWidth="1"/>
    <col min="3" max="3" width="19.5703125" customWidth="1"/>
    <col min="4" max="4" width="20.140625" customWidth="1"/>
    <col min="5" max="5" width="16.85546875" customWidth="1"/>
    <col min="6" max="6" width="16.7109375" customWidth="1"/>
  </cols>
  <sheetData>
    <row r="1" spans="1:16" ht="13.5" customHeight="1">
      <c r="A1" s="1739" t="s">
        <v>1824</v>
      </c>
      <c r="B1" s="1739"/>
      <c r="C1" s="1739"/>
      <c r="D1" s="1739"/>
      <c r="E1" s="1739"/>
      <c r="F1" s="1739"/>
      <c r="G1" s="567"/>
      <c r="H1" s="567"/>
      <c r="I1" s="567"/>
      <c r="J1" s="567"/>
      <c r="K1" s="567"/>
      <c r="L1" s="567"/>
      <c r="M1" s="567"/>
      <c r="N1" s="567"/>
      <c r="O1" s="567"/>
      <c r="P1" s="567"/>
    </row>
    <row r="2" spans="1:16" ht="16.5" customHeight="1">
      <c r="A2" s="1720" t="str">
        <f>CONCATENATE("Assembly and Parliamentary Constituencies in the district of ",District!$A$1)</f>
        <v>Assembly and Parliamentary Constituencies in the district of South 24-Parganas</v>
      </c>
      <c r="B2" s="1720"/>
      <c r="C2" s="1720"/>
      <c r="D2" s="1720"/>
      <c r="E2" s="1720"/>
      <c r="F2" s="1720"/>
      <c r="G2" s="10"/>
      <c r="H2" s="10"/>
      <c r="I2" s="10"/>
      <c r="J2" s="10"/>
    </row>
    <row r="3" spans="1:16" ht="12" customHeight="1">
      <c r="B3" s="3"/>
      <c r="C3" s="3"/>
      <c r="D3" s="10"/>
      <c r="E3" s="10"/>
      <c r="F3" s="664" t="s">
        <v>977</v>
      </c>
      <c r="G3" s="10"/>
      <c r="H3" s="67"/>
      <c r="I3" s="10"/>
      <c r="J3" s="10"/>
    </row>
    <row r="4" spans="1:16" ht="14.25" customHeight="1">
      <c r="A4" s="1733" t="s">
        <v>671</v>
      </c>
      <c r="B4" s="1723" t="s">
        <v>989</v>
      </c>
      <c r="C4" s="1742" t="s">
        <v>333</v>
      </c>
      <c r="D4" s="1732" t="s">
        <v>334</v>
      </c>
      <c r="E4" s="1713"/>
      <c r="F4" s="1733" t="s">
        <v>958</v>
      </c>
      <c r="G4" s="10"/>
      <c r="H4" s="67"/>
      <c r="I4" s="10"/>
      <c r="J4" s="10"/>
    </row>
    <row r="5" spans="1:16" ht="15" customHeight="1">
      <c r="A5" s="1734"/>
      <c r="B5" s="1762"/>
      <c r="C5" s="1761"/>
      <c r="D5" s="631" t="s">
        <v>457</v>
      </c>
      <c r="E5" s="657" t="s">
        <v>458</v>
      </c>
      <c r="F5" s="1734"/>
      <c r="G5" s="10"/>
      <c r="H5" s="67"/>
      <c r="I5" s="10"/>
      <c r="J5" s="10"/>
    </row>
    <row r="6" spans="1:16" ht="15.75" customHeight="1">
      <c r="A6" s="118" t="s">
        <v>928</v>
      </c>
      <c r="B6" s="118" t="s">
        <v>929</v>
      </c>
      <c r="C6" s="118" t="s">
        <v>930</v>
      </c>
      <c r="D6" s="199" t="s">
        <v>931</v>
      </c>
      <c r="E6" s="119" t="s">
        <v>932</v>
      </c>
      <c r="F6" s="199" t="s">
        <v>933</v>
      </c>
      <c r="G6" s="10"/>
      <c r="H6" s="67"/>
      <c r="I6" s="10"/>
      <c r="J6" s="10"/>
    </row>
    <row r="7" spans="1:16" ht="17.25" customHeight="1">
      <c r="A7" s="1340">
        <v>2010</v>
      </c>
      <c r="B7" s="890" t="s">
        <v>990</v>
      </c>
      <c r="C7" s="889">
        <v>22</v>
      </c>
      <c r="D7" s="888">
        <v>9</v>
      </c>
      <c r="E7" s="889" t="s">
        <v>1229</v>
      </c>
      <c r="F7" s="888">
        <f t="shared" ref="F7:F14" si="0">SUM(C7:E7)</f>
        <v>31</v>
      </c>
      <c r="G7" s="10"/>
      <c r="H7" s="67"/>
      <c r="I7" s="10"/>
      <c r="J7" s="10"/>
    </row>
    <row r="8" spans="1:16" ht="17.25" customHeight="1">
      <c r="A8" s="996"/>
      <c r="B8" s="767" t="s">
        <v>991</v>
      </c>
      <c r="C8" s="435">
        <v>3</v>
      </c>
      <c r="D8" s="434">
        <v>2</v>
      </c>
      <c r="E8" s="435" t="s">
        <v>1229</v>
      </c>
      <c r="F8" s="434">
        <f t="shared" si="0"/>
        <v>5</v>
      </c>
      <c r="G8" s="10"/>
      <c r="H8" s="67"/>
      <c r="I8" s="10"/>
      <c r="J8" s="10"/>
    </row>
    <row r="9" spans="1:16" ht="17.25" customHeight="1">
      <c r="A9" s="996">
        <v>2011</v>
      </c>
      <c r="B9" s="527" t="s">
        <v>990</v>
      </c>
      <c r="C9" s="435">
        <v>22</v>
      </c>
      <c r="D9" s="434">
        <v>9</v>
      </c>
      <c r="E9" s="435" t="s">
        <v>1229</v>
      </c>
      <c r="F9" s="434">
        <f t="shared" si="0"/>
        <v>31</v>
      </c>
      <c r="G9" s="10"/>
      <c r="H9" s="67"/>
      <c r="I9" s="10"/>
      <c r="J9" s="10"/>
    </row>
    <row r="10" spans="1:16" ht="17.25" customHeight="1">
      <c r="A10" s="996"/>
      <c r="B10" s="767" t="s">
        <v>991</v>
      </c>
      <c r="C10" s="435">
        <v>3</v>
      </c>
      <c r="D10" s="434">
        <v>2</v>
      </c>
      <c r="E10" s="435" t="s">
        <v>1229</v>
      </c>
      <c r="F10" s="434">
        <f t="shared" si="0"/>
        <v>5</v>
      </c>
      <c r="G10" s="10"/>
      <c r="H10" s="67"/>
      <c r="I10" s="10"/>
      <c r="J10" s="10"/>
    </row>
    <row r="11" spans="1:16" ht="17.25" customHeight="1">
      <c r="A11" s="996">
        <v>2012</v>
      </c>
      <c r="B11" s="527" t="s">
        <v>990</v>
      </c>
      <c r="C11" s="435">
        <v>22</v>
      </c>
      <c r="D11" s="434">
        <v>9</v>
      </c>
      <c r="E11" s="435" t="s">
        <v>1229</v>
      </c>
      <c r="F11" s="434">
        <f t="shared" si="0"/>
        <v>31</v>
      </c>
      <c r="G11" s="10"/>
      <c r="H11" s="67"/>
      <c r="I11" s="10"/>
      <c r="J11" s="10"/>
    </row>
    <row r="12" spans="1:16" ht="17.25" customHeight="1">
      <c r="A12" s="996"/>
      <c r="B12" s="767" t="s">
        <v>991</v>
      </c>
      <c r="C12" s="435">
        <v>3</v>
      </c>
      <c r="D12" s="434">
        <v>2</v>
      </c>
      <c r="E12" s="435" t="s">
        <v>1229</v>
      </c>
      <c r="F12" s="434">
        <f t="shared" si="0"/>
        <v>5</v>
      </c>
      <c r="G12" s="10"/>
      <c r="H12" s="67"/>
      <c r="I12" s="10"/>
      <c r="J12" s="10"/>
    </row>
    <row r="13" spans="1:16" ht="17.25" customHeight="1">
      <c r="A13" s="996">
        <v>2013</v>
      </c>
      <c r="B13" s="527" t="s">
        <v>990</v>
      </c>
      <c r="C13" s="435">
        <v>22</v>
      </c>
      <c r="D13" s="434">
        <v>9</v>
      </c>
      <c r="E13" s="435" t="s">
        <v>1229</v>
      </c>
      <c r="F13" s="434">
        <f t="shared" si="0"/>
        <v>31</v>
      </c>
      <c r="G13" s="10"/>
      <c r="H13" s="67"/>
      <c r="I13" s="10"/>
      <c r="J13" s="10"/>
    </row>
    <row r="14" spans="1:16" ht="17.25" customHeight="1">
      <c r="A14" s="996"/>
      <c r="B14" s="767" t="s">
        <v>991</v>
      </c>
      <c r="C14" s="435">
        <v>3</v>
      </c>
      <c r="D14" s="434">
        <v>2</v>
      </c>
      <c r="E14" s="435" t="s">
        <v>1229</v>
      </c>
      <c r="F14" s="434">
        <f t="shared" si="0"/>
        <v>5</v>
      </c>
      <c r="G14" s="10"/>
      <c r="H14" s="67"/>
      <c r="I14" s="10"/>
      <c r="J14" s="10"/>
    </row>
    <row r="15" spans="1:16" ht="17.25" customHeight="1">
      <c r="A15" s="996">
        <v>2014</v>
      </c>
      <c r="B15" s="527" t="s">
        <v>990</v>
      </c>
      <c r="C15" s="435">
        <v>22</v>
      </c>
      <c r="D15" s="434">
        <v>9</v>
      </c>
      <c r="E15" s="435" t="s">
        <v>1229</v>
      </c>
      <c r="F15" s="434">
        <f>SUM(C15:E15)</f>
        <v>31</v>
      </c>
      <c r="G15" s="10"/>
      <c r="H15" s="67"/>
      <c r="I15" s="10"/>
      <c r="J15" s="10"/>
    </row>
    <row r="16" spans="1:16" ht="17.25" customHeight="1">
      <c r="A16" s="997"/>
      <c r="B16" s="732" t="s">
        <v>991</v>
      </c>
      <c r="C16" s="658">
        <v>3</v>
      </c>
      <c r="D16" s="696">
        <v>2</v>
      </c>
      <c r="E16" s="658" t="s">
        <v>1229</v>
      </c>
      <c r="F16" s="696">
        <f>SUM(C16:E16)</f>
        <v>5</v>
      </c>
      <c r="H16" s="557"/>
      <c r="I16" s="557"/>
      <c r="J16" s="557"/>
    </row>
    <row r="17" spans="1:10" ht="14.1" customHeight="1">
      <c r="A17" s="1763" t="s">
        <v>437</v>
      </c>
      <c r="B17" s="1763"/>
      <c r="C17" s="1763"/>
      <c r="D17" s="1074"/>
      <c r="E17" s="1074"/>
      <c r="F17" s="1008" t="s">
        <v>1099</v>
      </c>
      <c r="G17" s="557"/>
      <c r="H17" s="557"/>
      <c r="I17" s="557"/>
      <c r="J17" s="557"/>
    </row>
    <row r="18" spans="1:10" ht="14.1" customHeight="1">
      <c r="A18" s="1764"/>
      <c r="B18" s="1764"/>
      <c r="C18" s="1764"/>
      <c r="D18" s="1074"/>
      <c r="E18" s="1074"/>
      <c r="F18" s="1154"/>
      <c r="G18" s="557"/>
      <c r="H18" s="557"/>
      <c r="I18" s="557"/>
      <c r="J18" s="557"/>
    </row>
    <row r="19" spans="1:10">
      <c r="A19" s="1764"/>
      <c r="B19" s="1764"/>
      <c r="C19" s="1764"/>
      <c r="D19" s="1154"/>
      <c r="E19" s="1154"/>
    </row>
    <row r="20" spans="1:10">
      <c r="A20" s="1764"/>
      <c r="B20" s="1764"/>
      <c r="C20" s="1764"/>
      <c r="D20" s="1154"/>
      <c r="E20" s="1154"/>
    </row>
    <row r="21" spans="1:10">
      <c r="A21" s="1154"/>
      <c r="B21" s="1154"/>
      <c r="C21" s="1154"/>
      <c r="D21" s="1154"/>
      <c r="E21" s="1154"/>
      <c r="F21" s="1008"/>
    </row>
    <row r="22" spans="1:10">
      <c r="A22" s="1739" t="s">
        <v>476</v>
      </c>
      <c r="B22" s="1739"/>
      <c r="C22" s="1739"/>
      <c r="D22" s="1739"/>
      <c r="E22" s="1739"/>
      <c r="F22" s="1739"/>
    </row>
    <row r="23" spans="1:10" ht="33.75" customHeight="1">
      <c r="A23" s="1760" t="str">
        <f>CONCATENATE("Number of Seats in Municipal Corporations, Municipalities, and Panchayats 
in the district of ",District!$A$1)</f>
        <v>Number of Seats in Municipal Corporations, Municipalities, and Panchayats 
in the district of South 24-Parganas</v>
      </c>
      <c r="B23" s="1760"/>
      <c r="C23" s="1760"/>
      <c r="D23" s="1760"/>
      <c r="E23" s="1760"/>
      <c r="F23" s="1760"/>
    </row>
    <row r="24" spans="1:10" ht="13.5" customHeight="1">
      <c r="A24" s="663"/>
      <c r="B24" s="663"/>
      <c r="C24" s="663"/>
      <c r="D24" s="663"/>
      <c r="E24" s="663"/>
      <c r="F24" s="664"/>
    </row>
    <row r="25" spans="1:10" ht="27.75" customHeight="1">
      <c r="A25" s="659" t="s">
        <v>671</v>
      </c>
      <c r="B25" s="659" t="s">
        <v>841</v>
      </c>
      <c r="C25" s="659" t="s">
        <v>842</v>
      </c>
      <c r="D25" s="659" t="s">
        <v>26</v>
      </c>
      <c r="E25" s="659" t="s">
        <v>1314</v>
      </c>
      <c r="F25" s="631" t="s">
        <v>843</v>
      </c>
    </row>
    <row r="26" spans="1:10" ht="15" customHeight="1">
      <c r="A26" s="199" t="s">
        <v>928</v>
      </c>
      <c r="B26" s="199" t="s">
        <v>929</v>
      </c>
      <c r="C26" s="199" t="s">
        <v>930</v>
      </c>
      <c r="D26" s="199" t="s">
        <v>931</v>
      </c>
      <c r="E26" s="199" t="s">
        <v>932</v>
      </c>
      <c r="F26" s="199" t="s">
        <v>933</v>
      </c>
    </row>
    <row r="27" spans="1:10" ht="20.25" customHeight="1">
      <c r="A27" s="1560">
        <v>2010</v>
      </c>
      <c r="B27" s="1554" t="s">
        <v>1229</v>
      </c>
      <c r="C27" s="1560">
        <v>152</v>
      </c>
      <c r="D27" s="1555">
        <v>73</v>
      </c>
      <c r="E27" s="1555">
        <v>877</v>
      </c>
      <c r="F27" s="1560">
        <v>4129</v>
      </c>
    </row>
    <row r="28" spans="1:10" ht="20.25" customHeight="1">
      <c r="A28" s="513">
        <v>2011</v>
      </c>
      <c r="B28" s="1560" t="s">
        <v>1229</v>
      </c>
      <c r="C28" s="1555">
        <v>152</v>
      </c>
      <c r="D28" s="1555">
        <v>73</v>
      </c>
      <c r="E28" s="1555">
        <v>877</v>
      </c>
      <c r="F28" s="1560">
        <v>4129</v>
      </c>
    </row>
    <row r="29" spans="1:10" ht="20.25" customHeight="1">
      <c r="A29" s="513">
        <v>2012</v>
      </c>
      <c r="B29" s="1560" t="s">
        <v>1229</v>
      </c>
      <c r="C29" s="1560">
        <v>152</v>
      </c>
      <c r="D29" s="1555">
        <v>73</v>
      </c>
      <c r="E29" s="1555">
        <v>877</v>
      </c>
      <c r="F29" s="1555">
        <v>4129</v>
      </c>
    </row>
    <row r="30" spans="1:10" ht="20.25" customHeight="1">
      <c r="A30" s="513">
        <v>2013</v>
      </c>
      <c r="B30" s="1560" t="s">
        <v>1229</v>
      </c>
      <c r="C30" s="1560">
        <v>152</v>
      </c>
      <c r="D30" s="1555">
        <v>81</v>
      </c>
      <c r="E30" s="1555">
        <v>913</v>
      </c>
      <c r="F30" s="1555">
        <v>4883</v>
      </c>
    </row>
    <row r="31" spans="1:10" ht="20.25" customHeight="1">
      <c r="A31" s="1043">
        <v>2014</v>
      </c>
      <c r="B31" s="78" t="s">
        <v>1229</v>
      </c>
      <c r="C31" s="78">
        <v>152</v>
      </c>
      <c r="D31" s="75">
        <v>81</v>
      </c>
      <c r="E31" s="75">
        <v>913</v>
      </c>
      <c r="F31" s="75">
        <v>4883</v>
      </c>
    </row>
    <row r="32" spans="1:10">
      <c r="A32" s="1546"/>
      <c r="D32" s="1162" t="s">
        <v>1124</v>
      </c>
      <c r="E32" s="1152" t="s">
        <v>514</v>
      </c>
      <c r="F32" s="950"/>
    </row>
    <row r="33" spans="4:6">
      <c r="D33" s="1139"/>
      <c r="E33" s="1139" t="s">
        <v>515</v>
      </c>
      <c r="F33" s="232"/>
    </row>
    <row r="34" spans="4:6">
      <c r="D34" s="1139"/>
      <c r="E34" s="1139" t="s">
        <v>1403</v>
      </c>
      <c r="F34" s="232"/>
    </row>
  </sheetData>
  <mergeCells count="10">
    <mergeCell ref="A1:F1"/>
    <mergeCell ref="D4:E4"/>
    <mergeCell ref="F4:F5"/>
    <mergeCell ref="A4:A5"/>
    <mergeCell ref="A23:F23"/>
    <mergeCell ref="C4:C5"/>
    <mergeCell ref="A2:F2"/>
    <mergeCell ref="B4:B5"/>
    <mergeCell ref="A22:F22"/>
    <mergeCell ref="A17:C20"/>
  </mergeCells>
  <phoneticPr fontId="0" type="noConversion"/>
  <conditionalFormatting sqref="A1:XFD1048576">
    <cfRule type="cellIs" dxfId="32" priority="1" stopIfTrue="1" operator="equal">
      <formula>".."</formula>
    </cfRule>
  </conditionalFormatting>
  <printOptions horizontalCentered="1"/>
  <pageMargins left="0.1" right="0.1" top="0.37" bottom="0.1" header="0.25" footer="0.1"/>
  <pageSetup paperSize="9" scale="97"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87</vt:i4>
      </vt:variant>
      <vt:variant>
        <vt:lpstr>Named Ranges</vt:lpstr>
      </vt:variant>
      <vt:variant>
        <vt:i4>5</vt:i4>
      </vt:variant>
    </vt:vector>
  </HeadingPairs>
  <TitlesOfParts>
    <vt:vector size="92" baseType="lpstr">
      <vt:lpstr>Map</vt:lpstr>
      <vt:lpstr>Cover Page</vt:lpstr>
      <vt:lpstr>PREFACE</vt:lpstr>
      <vt:lpstr>Contents</vt:lpstr>
      <vt:lpstr>At a glance</vt:lpstr>
      <vt:lpstr>1.1,1.2</vt:lpstr>
      <vt:lpstr>1.3,1.4</vt:lpstr>
      <vt:lpstr>2.1</vt:lpstr>
      <vt:lpstr>2.1a,2.1b</vt:lpstr>
      <vt:lpstr>2.2</vt:lpstr>
      <vt:lpstr>2.3</vt:lpstr>
      <vt:lpstr>2.4a</vt:lpstr>
      <vt:lpstr>2.4b</vt:lpstr>
      <vt:lpstr>2.5a</vt:lpstr>
      <vt:lpstr>2.5b</vt:lpstr>
      <vt:lpstr>2.6</vt:lpstr>
      <vt:lpstr>2.7</vt:lpstr>
      <vt:lpstr>2.8</vt:lpstr>
      <vt:lpstr>2.9</vt:lpstr>
      <vt:lpstr>2.10</vt:lpstr>
      <vt:lpstr>2.10a</vt:lpstr>
      <vt:lpstr>2.11</vt:lpstr>
      <vt:lpstr>3.1</vt:lpstr>
      <vt:lpstr>3.2</vt:lpstr>
      <vt:lpstr>3.2a</vt:lpstr>
      <vt:lpstr>3.3</vt:lpstr>
      <vt:lpstr>3.3a</vt:lpstr>
      <vt:lpstr>4.1a</vt:lpstr>
      <vt:lpstr>4.1b</vt:lpstr>
      <vt:lpstr>4.1c</vt:lpstr>
      <vt:lpstr>4.2a</vt:lpstr>
      <vt:lpstr>4.2b</vt:lpstr>
      <vt:lpstr>4.2c</vt:lpstr>
      <vt:lpstr>4.3a</vt:lpstr>
      <vt:lpstr>4.3b</vt:lpstr>
      <vt:lpstr>4.3c</vt:lpstr>
      <vt:lpstr>4.4</vt:lpstr>
      <vt:lpstr>4.5</vt:lpstr>
      <vt:lpstr>4.6</vt:lpstr>
      <vt:lpstr>4.7</vt:lpstr>
      <vt:lpstr>4.8</vt:lpstr>
      <vt:lpstr>5.1 ,5.1a</vt:lpstr>
      <vt:lpstr>5.1b,5.2</vt:lpstr>
      <vt:lpstr>5.3</vt:lpstr>
      <vt:lpstr>5.3a</vt:lpstr>
      <vt:lpstr>5.3b,5.3c</vt:lpstr>
      <vt:lpstr>5.3d</vt:lpstr>
      <vt:lpstr>5.3e</vt:lpstr>
      <vt:lpstr>5.4</vt:lpstr>
      <vt:lpstr>5.5,5.5a</vt:lpstr>
      <vt:lpstr>5.6,5.7,5.8</vt:lpstr>
      <vt:lpstr>6.1</vt:lpstr>
      <vt:lpstr>6.2</vt:lpstr>
      <vt:lpstr>7.1</vt:lpstr>
      <vt:lpstr>7.2,7.3</vt:lpstr>
      <vt:lpstr>8.1,8.2</vt:lpstr>
      <vt:lpstr>8.2a</vt:lpstr>
      <vt:lpstr>8.3</vt:lpstr>
      <vt:lpstr>8.4</vt:lpstr>
      <vt:lpstr>9.1</vt:lpstr>
      <vt:lpstr>9.2,9.2a,9.2b</vt:lpstr>
      <vt:lpstr>10.1,10.2</vt:lpstr>
      <vt:lpstr>10.3</vt:lpstr>
      <vt:lpstr>11.1</vt:lpstr>
      <vt:lpstr>11.1a,11.2</vt:lpstr>
      <vt:lpstr>11.3,11.4</vt:lpstr>
      <vt:lpstr>12.1,12.2</vt:lpstr>
      <vt:lpstr>12.3,12.4</vt:lpstr>
      <vt:lpstr>12.5,12.6,12.7</vt:lpstr>
      <vt:lpstr>13.1</vt:lpstr>
      <vt:lpstr>13.2,13.3</vt:lpstr>
      <vt:lpstr>14.1,14.2</vt:lpstr>
      <vt:lpstr>15.1</vt:lpstr>
      <vt:lpstr>15.2</vt:lpstr>
      <vt:lpstr>Block_Level</vt:lpstr>
      <vt:lpstr>16.1</vt:lpstr>
      <vt:lpstr>17.1</vt:lpstr>
      <vt:lpstr>17.2</vt:lpstr>
      <vt:lpstr>18.1</vt:lpstr>
      <vt:lpstr>18.2</vt:lpstr>
      <vt:lpstr>18.3</vt:lpstr>
      <vt:lpstr>19.1</vt:lpstr>
      <vt:lpstr>20.1</vt:lpstr>
      <vt:lpstr>20.2</vt:lpstr>
      <vt:lpstr>21.1</vt:lpstr>
      <vt:lpstr>21.2</vt:lpstr>
      <vt:lpstr>District</vt:lpstr>
      <vt:lpstr>'2.1'!Print_Area</vt:lpstr>
      <vt:lpstr>'4.2c'!Print_Area</vt:lpstr>
      <vt:lpstr>'2.2'!Print_Titles</vt:lpstr>
      <vt:lpstr>'4.6'!Print_Titles</vt:lpstr>
      <vt:lpstr>'4.7'!Print_Titles</vt:lpstr>
    </vt:vector>
  </TitlesOfParts>
  <Company>HCL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BAES</cp:lastModifiedBy>
  <cp:lastPrinted>2016-05-27T10:10:34Z</cp:lastPrinted>
  <dcterms:created xsi:type="dcterms:W3CDTF">2007-01-18T06:47:54Z</dcterms:created>
  <dcterms:modified xsi:type="dcterms:W3CDTF">2016-06-30T11:01:12Z</dcterms:modified>
</cp:coreProperties>
</file>